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Default Extension="emf" ContentType="image/x-emf"/>
  <Default Extension="wmf" ContentType="image/x-wmf"/>
  <Default Extension="jpeg" ContentType="image/jpeg"/>
  <Override PartName="/xl/drawings/drawing4.xml" ContentType="application/vnd.openxmlformats-officedocument.drawing+xml"/>
  <Override PartName="/xl/drawings/drawing5.xml" ContentType="application/vnd.openxmlformats-officedocument.drawing+xml"/>
  <Override PartName="/xl/comments6.xml" ContentType="application/vnd.openxmlformats-officedocument.spreadsheetml.comment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xl/comments4.xml" ContentType="application/vnd.openxmlformats-officedocument.spreadsheetml.comments+xml"/>
  <Override PartName="/xl/comments5.xml" ContentType="application/vnd.openxmlformats-officedocument.spreadsheetml.comments+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20" yWindow="75" windowWidth="13800" windowHeight="8445" tabRatio="885" activeTab="1"/>
  </bookViews>
  <sheets>
    <sheet name="Title" sheetId="13" r:id="rId1"/>
    <sheet name="Calculator" sheetId="9" r:id="rId2"/>
    <sheet name="Summary" sheetId="14" r:id="rId3"/>
    <sheet name="Additional Input" sheetId="1" state="hidden" r:id="rId4"/>
    <sheet name="Adjustments" sheetId="10" state="hidden" r:id="rId5"/>
    <sheet name="Projections" sheetId="3" state="hidden" r:id="rId6"/>
    <sheet name="States" sheetId="6" r:id="rId7"/>
    <sheet name="Checklist" sheetId="8" r:id="rId8"/>
    <sheet name="State Details" sheetId="5" state="hidden" r:id="rId9"/>
    <sheet name="Fact Sheet" sheetId="4" state="hidden" r:id="rId10"/>
    <sheet name="TaxTables" sheetId="7" state="hidden" r:id="rId11"/>
  </sheets>
  <definedNames>
    <definedName name="AllStateTables">'State Details'!$C$68:$K$191</definedName>
    <definedName name="Amortization">TaxTables!$A$30:$B$630</definedName>
    <definedName name="CT">'State Details'!$C$70:$F$79</definedName>
    <definedName name="DATA">Projections!$A$5:$T$65</definedName>
    <definedName name="DATA2">Projections!$A$72:$T$132</definedName>
    <definedName name="DATA3">Projections!$A$139:$T$199</definedName>
    <definedName name="DE">'State Details'!$C$197:$F$216</definedName>
    <definedName name="ETable1">TaxTables!$B$4:$D$22</definedName>
    <definedName name="ETable2">TaxTables!$F$4:$I$22</definedName>
    <definedName name="ETable3">TaxTables!$K$4:$N$22</definedName>
    <definedName name="Gifts">TaxTables!$P$5:$AA$65</definedName>
    <definedName name="HI">'State Details'!$C$84:$F$89</definedName>
    <definedName name="IA">'State Details'!$C$107:$J$114</definedName>
    <definedName name="IN">'State Details'!$C$94:$J$103</definedName>
    <definedName name="Inheritance">States!$G$30:$J$38</definedName>
    <definedName name="INtable">'State Details'!$K$94:$L$104</definedName>
    <definedName name="KY">'State Details'!$C$119:$J$131</definedName>
    <definedName name="ME">'State Details'!$C$136:$F$139</definedName>
    <definedName name="NE">'State Details'!$C$144:$J$147</definedName>
    <definedName name="NJ">'State Details'!$C$152:$J$157</definedName>
    <definedName name="OR">'State Details'!$C$162:$F$171</definedName>
    <definedName name="_xlnm.Print_Area" localSheetId="3">'Additional Input'!$A$1:$L$50</definedName>
    <definedName name="_xlnm.Print_Area" localSheetId="4">Adjustments!$A$1:$J$65</definedName>
    <definedName name="_xlnm.Print_Area" localSheetId="1">Calculator!$A$1:$P$51</definedName>
    <definedName name="_xlnm.Print_Area" localSheetId="7">Checklist!$A$1:$F$21</definedName>
    <definedName name="_xlnm.Print_Area" localSheetId="9">'Fact Sheet'!$A$1:$K$54</definedName>
    <definedName name="_xlnm.Print_Area" localSheetId="5">Projections!$A$1:$U$66</definedName>
    <definedName name="_xlnm.Print_Area" localSheetId="8">'State Details'!$A$1:$O$64</definedName>
    <definedName name="_xlnm.Print_Area" localSheetId="2">Summary!$A$1:$K$87</definedName>
    <definedName name="_xlnm.Print_Area" localSheetId="10">TaxTables!$A$1:$X$65</definedName>
    <definedName name="_xlnm.Print_Area" localSheetId="0">Title!$A$1:$G$14</definedName>
    <definedName name="_xlnm.Print_Titles" localSheetId="5">Projections!$A:$B,Projections!$1:$4</definedName>
    <definedName name="_xlnm.Print_Titles" localSheetId="8">'State Details'!$A:$C,'State Details'!$1:$4</definedName>
    <definedName name="Projections">Projections!$A$5:$U$55</definedName>
    <definedName name="States">'State Details'!$A$5:$T$55</definedName>
    <definedName name="StateTaxes">States!$H$5:$J$25</definedName>
    <definedName name="TN">'State Details'!$C$176:$F$179</definedName>
    <definedName name="TNExemption">'State Details'!$G$175:$H$179</definedName>
    <definedName name="Underwriting">Calculator!$R$7:$V$9</definedName>
    <definedName name="UniformTable">TaxTables!$AE$3:$AF$48</definedName>
    <definedName name="WA">'State Details'!$C$184:$F$191</definedName>
  </definedNames>
  <calcPr calcId="125725"/>
</workbook>
</file>

<file path=xl/calcChain.xml><?xml version="1.0" encoding="utf-8"?>
<calcChain xmlns="http://schemas.openxmlformats.org/spreadsheetml/2006/main">
  <c r="Q16" i="9"/>
  <c r="F10"/>
  <c r="B33"/>
  <c r="K5"/>
  <c r="J25"/>
  <c r="J24"/>
  <c r="A72" i="14"/>
  <c r="G139" i="3"/>
  <c r="G5"/>
  <c r="G72"/>
  <c r="A74" i="10"/>
  <c r="A75" s="1"/>
  <c r="A76" s="1"/>
  <c r="A77" s="1"/>
  <c r="A78" s="1"/>
  <c r="A79" s="1"/>
  <c r="A80" s="1"/>
  <c r="A81" s="1"/>
  <c r="A82" s="1"/>
  <c r="A83" s="1"/>
  <c r="A84" s="1"/>
  <c r="A85" s="1"/>
  <c r="A86" s="1"/>
  <c r="A87" s="1"/>
  <c r="A88" s="1"/>
  <c r="A89" s="1"/>
  <c r="A90" s="1"/>
  <c r="A91" s="1"/>
  <c r="A92" s="1"/>
  <c r="A93" s="1"/>
  <c r="A94" s="1"/>
  <c r="A95" s="1"/>
  <c r="A96" s="1"/>
  <c r="A97" s="1"/>
  <c r="A98" s="1"/>
  <c r="A99" s="1"/>
  <c r="A100" s="1"/>
  <c r="A101" s="1"/>
  <c r="A102" s="1"/>
  <c r="A103" s="1"/>
  <c r="A104" s="1"/>
  <c r="A105" s="1"/>
  <c r="A106" s="1"/>
  <c r="A107" s="1"/>
  <c r="A108" s="1"/>
  <c r="A109" s="1"/>
  <c r="A110" s="1"/>
  <c r="A111" s="1"/>
  <c r="A112" s="1"/>
  <c r="A113" s="1"/>
  <c r="A114" s="1"/>
  <c r="A115" s="1"/>
  <c r="A116" s="1"/>
  <c r="A117" s="1"/>
  <c r="A118" s="1"/>
  <c r="A119" s="1"/>
  <c r="A120" s="1"/>
  <c r="A121" s="1"/>
  <c r="A122" s="1"/>
  <c r="A123" s="1"/>
  <c r="A124" s="1"/>
  <c r="A125" s="1"/>
  <c r="A126" s="1"/>
  <c r="A127" s="1"/>
  <c r="A128" s="1"/>
  <c r="A129" s="1"/>
  <c r="A130" s="1"/>
  <c r="A131" s="1"/>
  <c r="A132" s="1"/>
  <c r="A141"/>
  <c r="A142" s="1"/>
  <c r="A143" s="1"/>
  <c r="A144" s="1"/>
  <c r="A145" s="1"/>
  <c r="A146" s="1"/>
  <c r="A147" s="1"/>
  <c r="A148" s="1"/>
  <c r="A149" s="1"/>
  <c r="A150" s="1"/>
  <c r="A151" s="1"/>
  <c r="A152" s="1"/>
  <c r="A153" s="1"/>
  <c r="A154" s="1"/>
  <c r="A155" s="1"/>
  <c r="A156" s="1"/>
  <c r="A157" s="1"/>
  <c r="A158" s="1"/>
  <c r="A159" s="1"/>
  <c r="A160" s="1"/>
  <c r="A161" s="1"/>
  <c r="A162" s="1"/>
  <c r="A163" s="1"/>
  <c r="A164" s="1"/>
  <c r="A165" s="1"/>
  <c r="A166" s="1"/>
  <c r="A167" s="1"/>
  <c r="A168" s="1"/>
  <c r="A169" s="1"/>
  <c r="A170" s="1"/>
  <c r="A171" s="1"/>
  <c r="A172" s="1"/>
  <c r="A173" s="1"/>
  <c r="A174" s="1"/>
  <c r="A175" s="1"/>
  <c r="A176" s="1"/>
  <c r="A177" s="1"/>
  <c r="A178" s="1"/>
  <c r="A179" s="1"/>
  <c r="A180" s="1"/>
  <c r="A181" s="1"/>
  <c r="A182" s="1"/>
  <c r="A183" s="1"/>
  <c r="A184" s="1"/>
  <c r="A185" s="1"/>
  <c r="A186" s="1"/>
  <c r="A187" s="1"/>
  <c r="A188" s="1"/>
  <c r="A189" s="1"/>
  <c r="A190" s="1"/>
  <c r="A191" s="1"/>
  <c r="A192" s="1"/>
  <c r="A193" s="1"/>
  <c r="A194" s="1"/>
  <c r="A195" s="1"/>
  <c r="A196" s="1"/>
  <c r="A197" s="1"/>
  <c r="A198" s="1"/>
  <c r="A199" s="1"/>
  <c r="B12" i="5"/>
  <c r="B50"/>
  <c r="B11"/>
  <c r="B19"/>
  <c r="B20"/>
  <c r="B22"/>
  <c r="B24"/>
  <c r="B32"/>
  <c r="B35"/>
  <c r="B42"/>
  <c r="B47"/>
  <c r="B52"/>
  <c r="F12"/>
  <c r="F66"/>
  <c r="F67"/>
  <c r="F38"/>
  <c r="B67"/>
  <c r="F15" i="9" l="1"/>
  <c r="J19" i="5"/>
  <c r="F47"/>
  <c r="D80" i="14"/>
  <c r="D78"/>
  <c r="F76"/>
  <c r="A76"/>
  <c r="D70"/>
  <c r="D57"/>
  <c r="D55"/>
  <c r="F53"/>
  <c r="A53"/>
  <c r="D47"/>
  <c r="C197" i="5"/>
  <c r="D197" s="1"/>
  <c r="C198" s="1"/>
  <c r="Q40" i="9"/>
  <c r="Q39"/>
  <c r="Q38"/>
  <c r="T37"/>
  <c r="A140" i="3"/>
  <c r="F139"/>
  <c r="E139"/>
  <c r="C139"/>
  <c r="S138"/>
  <c r="R138"/>
  <c r="G138"/>
  <c r="F138"/>
  <c r="E138"/>
  <c r="F137"/>
  <c r="E137"/>
  <c r="A73"/>
  <c r="F72"/>
  <c r="E72"/>
  <c r="C72"/>
  <c r="S71"/>
  <c r="R71"/>
  <c r="G71"/>
  <c r="F71"/>
  <c r="E71"/>
  <c r="F70"/>
  <c r="E70"/>
  <c r="E198" i="5" l="1"/>
  <c r="D198"/>
  <c r="C199" s="1"/>
  <c r="A141" i="3"/>
  <c r="A74"/>
  <c r="A7" i="14"/>
  <c r="F9" i="1"/>
  <c r="F23" i="14"/>
  <c r="D17"/>
  <c r="D9" i="1"/>
  <c r="J20" i="9"/>
  <c r="D21" i="1"/>
  <c r="D25" i="14"/>
  <c r="J10" i="9"/>
  <c r="D27" i="14"/>
  <c r="D34" i="9"/>
  <c r="A8" i="14"/>
  <c r="E199" i="5" l="1"/>
  <c r="D199"/>
  <c r="C200" s="1"/>
  <c r="A142" i="3"/>
  <c r="A75"/>
  <c r="B3" i="7"/>
  <c r="D28" i="9"/>
  <c r="A35" i="14" s="1"/>
  <c r="C5" i="3"/>
  <c r="U2" i="7"/>
  <c r="R5"/>
  <c r="T5"/>
  <c r="P6"/>
  <c r="P7"/>
  <c r="J19" i="9" l="1"/>
  <c r="C49" i="14" s="1"/>
  <c r="B13"/>
  <c r="B43"/>
  <c r="B66"/>
  <c r="D200" i="5"/>
  <c r="C201" s="1"/>
  <c r="E200"/>
  <c r="A143" i="3"/>
  <c r="A76"/>
  <c r="P8" i="7"/>
  <c r="Q19" i="9" l="1"/>
  <c r="C19" i="14"/>
  <c r="D20" i="1"/>
  <c r="J21" i="9"/>
  <c r="E201" i="5"/>
  <c r="D201"/>
  <c r="C202" s="1"/>
  <c r="A144" i="3"/>
  <c r="A77"/>
  <c r="P9" i="7"/>
  <c r="E202" i="5" l="1"/>
  <c r="D202"/>
  <c r="C203" s="1"/>
  <c r="A145" i="3"/>
  <c r="A78"/>
  <c r="P10" i="7"/>
  <c r="D203" i="5" l="1"/>
  <c r="C204" s="1"/>
  <c r="E203"/>
  <c r="A146" i="3"/>
  <c r="A79"/>
  <c r="P11" i="7"/>
  <c r="P12" s="1"/>
  <c r="P13" s="1"/>
  <c r="P14" s="1"/>
  <c r="P15" s="1"/>
  <c r="P16" s="1"/>
  <c r="P17" s="1"/>
  <c r="E204" i="5" l="1"/>
  <c r="D204"/>
  <c r="C205" s="1"/>
  <c r="A147" i="3"/>
  <c r="A80"/>
  <c r="P18" i="7"/>
  <c r="E205" i="5" l="1"/>
  <c r="D205"/>
  <c r="C206" s="1"/>
  <c r="A148" i="3"/>
  <c r="A81"/>
  <c r="P19" i="7"/>
  <c r="D206" i="5" l="1"/>
  <c r="C207" s="1"/>
  <c r="E206"/>
  <c r="A149" i="3"/>
  <c r="A82"/>
  <c r="P20" i="7"/>
  <c r="D207" i="5" l="1"/>
  <c r="C208" s="1"/>
  <c r="E207"/>
  <c r="A150" i="3"/>
  <c r="A83"/>
  <c r="P21" i="7"/>
  <c r="E208" i="5" l="1"/>
  <c r="D208"/>
  <c r="C209" s="1"/>
  <c r="A151" i="3"/>
  <c r="A84"/>
  <c r="P22" i="7"/>
  <c r="D209" i="5" l="1"/>
  <c r="C210" s="1"/>
  <c r="E209"/>
  <c r="A152" i="3"/>
  <c r="A85"/>
  <c r="P23" i="7"/>
  <c r="D210" i="5" l="1"/>
  <c r="C211" s="1"/>
  <c r="E210"/>
  <c r="A153" i="3"/>
  <c r="A86"/>
  <c r="P24" i="7"/>
  <c r="D211" i="5" l="1"/>
  <c r="C212" s="1"/>
  <c r="E211"/>
  <c r="A154" i="3"/>
  <c r="A87"/>
  <c r="P25" i="7"/>
  <c r="E212" i="5" l="1"/>
  <c r="D212"/>
  <c r="C213" s="1"/>
  <c r="A155" i="3"/>
  <c r="A88"/>
  <c r="P26" i="7"/>
  <c r="E213" i="5" l="1"/>
  <c r="D213"/>
  <c r="C214" s="1"/>
  <c r="A156" i="3"/>
  <c r="A89"/>
  <c r="P27" i="7"/>
  <c r="E214" i="5" l="1"/>
  <c r="D214"/>
  <c r="C215" s="1"/>
  <c r="A157" i="3"/>
  <c r="A90"/>
  <c r="P28" i="7"/>
  <c r="E215" i="5" l="1"/>
  <c r="D215"/>
  <c r="C216" s="1"/>
  <c r="A158" i="3"/>
  <c r="A91"/>
  <c r="P29" i="7"/>
  <c r="E216" i="5" l="1"/>
  <c r="A159" i="3"/>
  <c r="A92"/>
  <c r="P30" i="7"/>
  <c r="A160" i="3" l="1"/>
  <c r="A93"/>
  <c r="P31" i="7"/>
  <c r="A161" i="3" l="1"/>
  <c r="A94"/>
  <c r="P32" i="7"/>
  <c r="A162" i="3" l="1"/>
  <c r="A95"/>
  <c r="P33" i="7"/>
  <c r="A163" i="3" l="1"/>
  <c r="A96"/>
  <c r="P34" i="7"/>
  <c r="A164" i="3" l="1"/>
  <c r="A97"/>
  <c r="P35" i="7"/>
  <c r="A165" i="3" l="1"/>
  <c r="A98"/>
  <c r="P36" i="7"/>
  <c r="A166" i="3" l="1"/>
  <c r="A99"/>
  <c r="P37" i="7"/>
  <c r="A167" i="3" l="1"/>
  <c r="A100"/>
  <c r="P38" i="7"/>
  <c r="A168" i="3" l="1"/>
  <c r="A101"/>
  <c r="P39" i="7"/>
  <c r="A169" i="3" l="1"/>
  <c r="A102"/>
  <c r="P40" i="7"/>
  <c r="A170" i="3" l="1"/>
  <c r="A103"/>
  <c r="P41" i="7"/>
  <c r="A171" i="3" l="1"/>
  <c r="A104"/>
  <c r="P42" i="7"/>
  <c r="A172" i="3" l="1"/>
  <c r="A105"/>
  <c r="P43" i="7"/>
  <c r="A173" i="3" l="1"/>
  <c r="A106"/>
  <c r="P44" i="7"/>
  <c r="A174" i="3" l="1"/>
  <c r="A107"/>
  <c r="P45" i="7"/>
  <c r="A175" i="3" l="1"/>
  <c r="A108"/>
  <c r="P46" i="7"/>
  <c r="A176" i="3" l="1"/>
  <c r="A109"/>
  <c r="P47" i="7"/>
  <c r="A177" i="3" l="1"/>
  <c r="A110"/>
  <c r="P48" i="7"/>
  <c r="P49" s="1"/>
  <c r="P50" s="1"/>
  <c r="P51" s="1"/>
  <c r="P52" s="1"/>
  <c r="P53" s="1"/>
  <c r="P54" s="1"/>
  <c r="P55" s="1"/>
  <c r="P56" s="1"/>
  <c r="P57" s="1"/>
  <c r="P58" s="1"/>
  <c r="P59" s="1"/>
  <c r="P60" s="1"/>
  <c r="P61" s="1"/>
  <c r="P62" s="1"/>
  <c r="P63" s="1"/>
  <c r="P64" s="1"/>
  <c r="P65" s="1"/>
  <c r="A178" i="3" l="1"/>
  <c r="A111"/>
  <c r="AD6" i="7"/>
  <c r="AD7"/>
  <c r="AD8"/>
  <c r="AD9"/>
  <c r="AD10"/>
  <c r="AD11"/>
  <c r="AD12"/>
  <c r="AD13"/>
  <c r="AD14"/>
  <c r="AD15"/>
  <c r="AD16"/>
  <c r="AD17"/>
  <c r="AD18"/>
  <c r="AD19"/>
  <c r="AD20"/>
  <c r="AD21"/>
  <c r="AD22"/>
  <c r="AD23"/>
  <c r="AD24"/>
  <c r="AD25"/>
  <c r="AD26"/>
  <c r="AD27"/>
  <c r="AD28"/>
  <c r="AD29"/>
  <c r="AD30"/>
  <c r="AD31"/>
  <c r="AD32"/>
  <c r="AD33"/>
  <c r="AD34"/>
  <c r="AD35"/>
  <c r="AD36"/>
  <c r="AD37"/>
  <c r="AD38"/>
  <c r="AD39"/>
  <c r="AD40"/>
  <c r="AD41"/>
  <c r="AD42"/>
  <c r="AD43"/>
  <c r="AD44"/>
  <c r="AD45"/>
  <c r="AD46"/>
  <c r="AD47"/>
  <c r="AD48"/>
  <c r="AD49"/>
  <c r="AD50"/>
  <c r="AD51"/>
  <c r="AD52"/>
  <c r="AD53"/>
  <c r="AD54"/>
  <c r="AD55"/>
  <c r="AD56"/>
  <c r="AD57"/>
  <c r="AD58"/>
  <c r="AD59"/>
  <c r="AD60"/>
  <c r="AD61"/>
  <c r="AD62"/>
  <c r="AD63"/>
  <c r="AD64"/>
  <c r="AD5"/>
  <c r="A179" i="3" l="1"/>
  <c r="A112"/>
  <c r="G47" i="5"/>
  <c r="F92"/>
  <c r="L96"/>
  <c r="L97" s="1"/>
  <c r="L98" s="1"/>
  <c r="L99" s="1"/>
  <c r="L100" s="1"/>
  <c r="L101" s="1"/>
  <c r="L102" s="1"/>
  <c r="L103" s="1"/>
  <c r="L104" s="1"/>
  <c r="K95"/>
  <c r="K96" s="1"/>
  <c r="K97" s="1"/>
  <c r="K98" s="1"/>
  <c r="K99" s="1"/>
  <c r="O10" i="1"/>
  <c r="K100" i="5" l="1"/>
  <c r="K101" s="1"/>
  <c r="K102" s="1"/>
  <c r="K103" s="1"/>
  <c r="K104" s="1"/>
  <c r="F19"/>
  <c r="A180" i="3"/>
  <c r="A113"/>
  <c r="N9" i="1"/>
  <c r="O9"/>
  <c r="T12" i="9" l="1"/>
  <c r="R12"/>
  <c r="S12"/>
  <c r="H20"/>
  <c r="A23" i="14" s="1"/>
  <c r="A181" i="3"/>
  <c r="B139"/>
  <c r="B139" i="10" s="1"/>
  <c r="O139" i="3"/>
  <c r="B72"/>
  <c r="B72" i="10" s="1"/>
  <c r="O72" i="3"/>
  <c r="A114"/>
  <c r="Q5" i="7"/>
  <c r="B5" i="3"/>
  <c r="H4" i="9"/>
  <c r="K42" i="1"/>
  <c r="K33"/>
  <c r="J6"/>
  <c r="F12"/>
  <c r="I13" i="9"/>
  <c r="J13"/>
  <c r="K32" i="1"/>
  <c r="D31"/>
  <c r="D26"/>
  <c r="F26"/>
  <c r="A7" i="10"/>
  <c r="A8" s="1"/>
  <c r="A9" s="1"/>
  <c r="A10" s="1"/>
  <c r="A11" s="1"/>
  <c r="A12" s="1"/>
  <c r="A13" s="1"/>
  <c r="A14" s="1"/>
  <c r="A15" s="1"/>
  <c r="A16" s="1"/>
  <c r="A17" s="1"/>
  <c r="A18" s="1"/>
  <c r="A19" s="1"/>
  <c r="A20" s="1"/>
  <c r="A21" s="1"/>
  <c r="A22" s="1"/>
  <c r="A23" s="1"/>
  <c r="A24" s="1"/>
  <c r="A25" s="1"/>
  <c r="A26" s="1"/>
  <c r="A27" s="1"/>
  <c r="A28" s="1"/>
  <c r="A29" s="1"/>
  <c r="A30" s="1"/>
  <c r="A31" s="1"/>
  <c r="A32" s="1"/>
  <c r="A33" s="1"/>
  <c r="A34" s="1"/>
  <c r="A35" s="1"/>
  <c r="A36" s="1"/>
  <c r="A37" s="1"/>
  <c r="A38" s="1"/>
  <c r="A39" s="1"/>
  <c r="A40" s="1"/>
  <c r="A41" s="1"/>
  <c r="A42" s="1"/>
  <c r="A43" s="1"/>
  <c r="A44" s="1"/>
  <c r="A45" s="1"/>
  <c r="A46" s="1"/>
  <c r="A47" s="1"/>
  <c r="A48" s="1"/>
  <c r="A49" s="1"/>
  <c r="A50" s="1"/>
  <c r="A51" s="1"/>
  <c r="A52" s="1"/>
  <c r="A53" s="1"/>
  <c r="A54" s="1"/>
  <c r="A55" s="1"/>
  <c r="A56" s="1"/>
  <c r="A57" s="1"/>
  <c r="A58" s="1"/>
  <c r="A59" s="1"/>
  <c r="A60" s="1"/>
  <c r="A61" s="1"/>
  <c r="A62" s="1"/>
  <c r="A63" s="1"/>
  <c r="A64" s="1"/>
  <c r="A65" s="1"/>
  <c r="F13" i="9"/>
  <c r="K19" i="1"/>
  <c r="F14" i="9"/>
  <c r="H40"/>
  <c r="V40"/>
  <c r="B40"/>
  <c r="H39"/>
  <c r="V39"/>
  <c r="B39"/>
  <c r="H38"/>
  <c r="V38"/>
  <c r="B38"/>
  <c r="K37"/>
  <c r="L35"/>
  <c r="F34"/>
  <c r="BA19" i="5"/>
  <c r="AD19"/>
  <c r="H35" i="9" l="1"/>
  <c r="Q35"/>
  <c r="V35"/>
  <c r="F29"/>
  <c r="Q36"/>
  <c r="S34"/>
  <c r="D30" i="1"/>
  <c r="D139" i="3"/>
  <c r="J4"/>
  <c r="Z4" i="7"/>
  <c r="D138" i="3"/>
  <c r="J71"/>
  <c r="D71"/>
  <c r="A182"/>
  <c r="P139"/>
  <c r="Q139" s="1"/>
  <c r="A115"/>
  <c r="P72"/>
  <c r="Q72" s="1"/>
  <c r="A26" i="9"/>
  <c r="J34"/>
  <c r="A31" i="1"/>
  <c r="X4" i="7"/>
  <c r="X34" i="9"/>
  <c r="H36"/>
  <c r="V36"/>
  <c r="AC4" i="7"/>
  <c r="AC3"/>
  <c r="K20" i="1"/>
  <c r="B26" i="7"/>
  <c r="B5" i="10"/>
  <c r="G67" i="5" l="1"/>
  <c r="G38"/>
  <c r="P66"/>
  <c r="P67"/>
  <c r="L67" s="1"/>
  <c r="P12"/>
  <c r="L12" s="1"/>
  <c r="G16"/>
  <c r="D6" i="9"/>
  <c r="R5" s="1"/>
  <c r="A183" i="3"/>
  <c r="A116"/>
  <c r="G19" i="5"/>
  <c r="H32" i="9"/>
  <c r="G44" i="5"/>
  <c r="G52"/>
  <c r="G42"/>
  <c r="G37"/>
  <c r="G35"/>
  <c r="G26"/>
  <c r="G25"/>
  <c r="G13"/>
  <c r="G11"/>
  <c r="R4" i="9" l="1"/>
  <c r="A5"/>
  <c r="A6"/>
  <c r="D9"/>
  <c r="A184" i="3"/>
  <c r="A117"/>
  <c r="E10" i="1"/>
  <c r="E11"/>
  <c r="C22" i="9" s="1"/>
  <c r="D24" l="1"/>
  <c r="D35" s="1"/>
  <c r="K139" i="3"/>
  <c r="K141"/>
  <c r="K143"/>
  <c r="K145"/>
  <c r="K147"/>
  <c r="K149"/>
  <c r="K151"/>
  <c r="K153"/>
  <c r="K155"/>
  <c r="K157"/>
  <c r="K159"/>
  <c r="K161"/>
  <c r="K163"/>
  <c r="K165"/>
  <c r="K167"/>
  <c r="K169"/>
  <c r="K171"/>
  <c r="K173"/>
  <c r="K175"/>
  <c r="K177"/>
  <c r="K179"/>
  <c r="K181"/>
  <c r="K183"/>
  <c r="K185"/>
  <c r="K187"/>
  <c r="K189"/>
  <c r="K191"/>
  <c r="K193"/>
  <c r="K195"/>
  <c r="K197"/>
  <c r="K199"/>
  <c r="K140"/>
  <c r="K142"/>
  <c r="K144"/>
  <c r="K146"/>
  <c r="K148"/>
  <c r="K150"/>
  <c r="K152"/>
  <c r="K154"/>
  <c r="K156"/>
  <c r="K158"/>
  <c r="K160"/>
  <c r="K162"/>
  <c r="K164"/>
  <c r="K166"/>
  <c r="K168"/>
  <c r="K170"/>
  <c r="K172"/>
  <c r="K174"/>
  <c r="K176"/>
  <c r="K178"/>
  <c r="K180"/>
  <c r="K182"/>
  <c r="K184"/>
  <c r="K186"/>
  <c r="K188"/>
  <c r="K190"/>
  <c r="K192"/>
  <c r="K194"/>
  <c r="K196"/>
  <c r="K198"/>
  <c r="H142"/>
  <c r="H144"/>
  <c r="H146"/>
  <c r="H148"/>
  <c r="H150"/>
  <c r="H152"/>
  <c r="H154"/>
  <c r="H156"/>
  <c r="H158"/>
  <c r="H160"/>
  <c r="H162"/>
  <c r="H164"/>
  <c r="H166"/>
  <c r="H168"/>
  <c r="H170"/>
  <c r="H172"/>
  <c r="H174"/>
  <c r="H176"/>
  <c r="H178"/>
  <c r="H180"/>
  <c r="H182"/>
  <c r="H184"/>
  <c r="H186"/>
  <c r="H188"/>
  <c r="H190"/>
  <c r="H192"/>
  <c r="H194"/>
  <c r="H196"/>
  <c r="H198"/>
  <c r="H141"/>
  <c r="H143"/>
  <c r="H145"/>
  <c r="H147"/>
  <c r="H149"/>
  <c r="H151"/>
  <c r="H153"/>
  <c r="H155"/>
  <c r="H157"/>
  <c r="H159"/>
  <c r="H161"/>
  <c r="H163"/>
  <c r="H165"/>
  <c r="H167"/>
  <c r="H169"/>
  <c r="H171"/>
  <c r="H173"/>
  <c r="H175"/>
  <c r="H177"/>
  <c r="H179"/>
  <c r="H181"/>
  <c r="H183"/>
  <c r="H185"/>
  <c r="H187"/>
  <c r="H189"/>
  <c r="H191"/>
  <c r="H193"/>
  <c r="H195"/>
  <c r="H197"/>
  <c r="H199"/>
  <c r="H139"/>
  <c r="H140"/>
  <c r="R103"/>
  <c r="R105"/>
  <c r="R107"/>
  <c r="R109"/>
  <c r="R111"/>
  <c r="R113"/>
  <c r="R115"/>
  <c r="R117"/>
  <c r="R119"/>
  <c r="R121"/>
  <c r="R123"/>
  <c r="R125"/>
  <c r="R127"/>
  <c r="R104"/>
  <c r="R106"/>
  <c r="R108"/>
  <c r="R110"/>
  <c r="R112"/>
  <c r="R114"/>
  <c r="R116"/>
  <c r="R118"/>
  <c r="R120"/>
  <c r="R122"/>
  <c r="R124"/>
  <c r="R126"/>
  <c r="Q103"/>
  <c r="Q105"/>
  <c r="Q107"/>
  <c r="Q109"/>
  <c r="Q111"/>
  <c r="Q113"/>
  <c r="Q115"/>
  <c r="Q117"/>
  <c r="Q119"/>
  <c r="Q121"/>
  <c r="Q123"/>
  <c r="Q125"/>
  <c r="Q127"/>
  <c r="Q104"/>
  <c r="Q106"/>
  <c r="Q108"/>
  <c r="Q110"/>
  <c r="Q112"/>
  <c r="Q114"/>
  <c r="Q116"/>
  <c r="Q118"/>
  <c r="Q120"/>
  <c r="Q122"/>
  <c r="Q124"/>
  <c r="Q126"/>
  <c r="N103"/>
  <c r="N105"/>
  <c r="N107"/>
  <c r="N109"/>
  <c r="N111"/>
  <c r="N113"/>
  <c r="N115"/>
  <c r="N117"/>
  <c r="N119"/>
  <c r="N121"/>
  <c r="N123"/>
  <c r="N125"/>
  <c r="N127"/>
  <c r="N104"/>
  <c r="N106"/>
  <c r="N108"/>
  <c r="N110"/>
  <c r="N112"/>
  <c r="N114"/>
  <c r="N116"/>
  <c r="N118"/>
  <c r="N120"/>
  <c r="N122"/>
  <c r="N124"/>
  <c r="N126"/>
  <c r="S170"/>
  <c r="S172"/>
  <c r="S174"/>
  <c r="S176"/>
  <c r="S178"/>
  <c r="S180"/>
  <c r="S182"/>
  <c r="S184"/>
  <c r="S186"/>
  <c r="S188"/>
  <c r="S190"/>
  <c r="S192"/>
  <c r="S194"/>
  <c r="S196"/>
  <c r="S198"/>
  <c r="S171"/>
  <c r="S173"/>
  <c r="S175"/>
  <c r="S177"/>
  <c r="S179"/>
  <c r="S181"/>
  <c r="S183"/>
  <c r="S185"/>
  <c r="S187"/>
  <c r="S189"/>
  <c r="S191"/>
  <c r="S193"/>
  <c r="S195"/>
  <c r="S197"/>
  <c r="S199"/>
  <c r="S103"/>
  <c r="S105"/>
  <c r="S107"/>
  <c r="S109"/>
  <c r="S111"/>
  <c r="S113"/>
  <c r="S115"/>
  <c r="S117"/>
  <c r="S119"/>
  <c r="S121"/>
  <c r="S123"/>
  <c r="S125"/>
  <c r="S127"/>
  <c r="S104"/>
  <c r="S106"/>
  <c r="S108"/>
  <c r="S110"/>
  <c r="S112"/>
  <c r="S114"/>
  <c r="S116"/>
  <c r="S118"/>
  <c r="S120"/>
  <c r="S122"/>
  <c r="S124"/>
  <c r="S126"/>
  <c r="D170"/>
  <c r="D172"/>
  <c r="D174"/>
  <c r="D176"/>
  <c r="D178"/>
  <c r="D180"/>
  <c r="D182"/>
  <c r="D184"/>
  <c r="D171"/>
  <c r="D173"/>
  <c r="D175"/>
  <c r="D177"/>
  <c r="D179"/>
  <c r="D181"/>
  <c r="D183"/>
  <c r="D185"/>
  <c r="J139"/>
  <c r="J141"/>
  <c r="J143"/>
  <c r="J145"/>
  <c r="J147"/>
  <c r="J149"/>
  <c r="J151"/>
  <c r="J153"/>
  <c r="J155"/>
  <c r="J157"/>
  <c r="J159"/>
  <c r="J161"/>
  <c r="J163"/>
  <c r="J165"/>
  <c r="J167"/>
  <c r="J169"/>
  <c r="J171"/>
  <c r="J173"/>
  <c r="J175"/>
  <c r="J177"/>
  <c r="J179"/>
  <c r="J181"/>
  <c r="J183"/>
  <c r="J185"/>
  <c r="J140"/>
  <c r="J142"/>
  <c r="J144"/>
  <c r="J146"/>
  <c r="J148"/>
  <c r="J150"/>
  <c r="J152"/>
  <c r="J154"/>
  <c r="J156"/>
  <c r="J158"/>
  <c r="J160"/>
  <c r="J162"/>
  <c r="J164"/>
  <c r="J166"/>
  <c r="J168"/>
  <c r="J170"/>
  <c r="J172"/>
  <c r="J174"/>
  <c r="J176"/>
  <c r="J178"/>
  <c r="J180"/>
  <c r="J182"/>
  <c r="J184"/>
  <c r="Z38" i="7"/>
  <c r="Z40"/>
  <c r="Z42"/>
  <c r="Z44"/>
  <c r="Z46"/>
  <c r="Z48"/>
  <c r="Z50"/>
  <c r="Z52"/>
  <c r="Z54"/>
  <c r="Z56"/>
  <c r="Z58"/>
  <c r="Z60"/>
  <c r="Z62"/>
  <c r="Z64"/>
  <c r="Z37"/>
  <c r="Z39"/>
  <c r="Z41"/>
  <c r="Z43"/>
  <c r="Z45"/>
  <c r="Z47"/>
  <c r="Z49"/>
  <c r="Z51"/>
  <c r="Z53"/>
  <c r="Z55"/>
  <c r="Z57"/>
  <c r="Z59"/>
  <c r="Z61"/>
  <c r="Z63"/>
  <c r="Z65"/>
  <c r="AA5"/>
  <c r="C72" i="14" s="1"/>
  <c r="AA7" i="7"/>
  <c r="AA9"/>
  <c r="AA11"/>
  <c r="AA13"/>
  <c r="AA15"/>
  <c r="AA17"/>
  <c r="AA19"/>
  <c r="AA21"/>
  <c r="AA23"/>
  <c r="AA25"/>
  <c r="AA27"/>
  <c r="AA29"/>
  <c r="AA31"/>
  <c r="AA33"/>
  <c r="AA35"/>
  <c r="AA37"/>
  <c r="AA39"/>
  <c r="AA41"/>
  <c r="AA43"/>
  <c r="AA45"/>
  <c r="AA47"/>
  <c r="AA49"/>
  <c r="AA51"/>
  <c r="AA53"/>
  <c r="AA55"/>
  <c r="AA57"/>
  <c r="AA59"/>
  <c r="AA61"/>
  <c r="AA63"/>
  <c r="AA65"/>
  <c r="AA6"/>
  <c r="AA8"/>
  <c r="AA10"/>
  <c r="AA12"/>
  <c r="AA14"/>
  <c r="AA16"/>
  <c r="AA18"/>
  <c r="AA20"/>
  <c r="AA22"/>
  <c r="AA24"/>
  <c r="AA26"/>
  <c r="AA28"/>
  <c r="AA30"/>
  <c r="AA32"/>
  <c r="AA34"/>
  <c r="AA36"/>
  <c r="AA38"/>
  <c r="AA40"/>
  <c r="AA42"/>
  <c r="AA44"/>
  <c r="AA46"/>
  <c r="AA48"/>
  <c r="AA50"/>
  <c r="AA52"/>
  <c r="AA54"/>
  <c r="AA56"/>
  <c r="AA58"/>
  <c r="AA60"/>
  <c r="AA62"/>
  <c r="AA64"/>
  <c r="K73" i="3"/>
  <c r="K75"/>
  <c r="K77"/>
  <c r="K79"/>
  <c r="K81"/>
  <c r="K83"/>
  <c r="K85"/>
  <c r="K87"/>
  <c r="K89"/>
  <c r="K91"/>
  <c r="K93"/>
  <c r="K95"/>
  <c r="K97"/>
  <c r="K99"/>
  <c r="K101"/>
  <c r="K103"/>
  <c r="K105"/>
  <c r="K107"/>
  <c r="K109"/>
  <c r="K111"/>
  <c r="K113"/>
  <c r="K115"/>
  <c r="K117"/>
  <c r="K74"/>
  <c r="K76"/>
  <c r="K78"/>
  <c r="K80"/>
  <c r="K82"/>
  <c r="K84"/>
  <c r="K86"/>
  <c r="K88"/>
  <c r="K90"/>
  <c r="K92"/>
  <c r="K94"/>
  <c r="K96"/>
  <c r="K98"/>
  <c r="K100"/>
  <c r="K102"/>
  <c r="K104"/>
  <c r="K106"/>
  <c r="K108"/>
  <c r="K110"/>
  <c r="K112"/>
  <c r="K114"/>
  <c r="K116"/>
  <c r="K118"/>
  <c r="K72"/>
  <c r="J104"/>
  <c r="J106"/>
  <c r="J108"/>
  <c r="J110"/>
  <c r="J112"/>
  <c r="J114"/>
  <c r="J116"/>
  <c r="J118"/>
  <c r="J103"/>
  <c r="J105"/>
  <c r="J107"/>
  <c r="J109"/>
  <c r="J111"/>
  <c r="J113"/>
  <c r="J115"/>
  <c r="J117"/>
  <c r="G183"/>
  <c r="F183"/>
  <c r="C183"/>
  <c r="B183"/>
  <c r="B183" i="10" s="1"/>
  <c r="O183" i="3"/>
  <c r="C140"/>
  <c r="C141" s="1"/>
  <c r="C142" s="1"/>
  <c r="C143" s="1"/>
  <c r="C144" s="1"/>
  <c r="C145" s="1"/>
  <c r="C146" s="1"/>
  <c r="C147" s="1"/>
  <c r="C148" s="1"/>
  <c r="C149" s="1"/>
  <c r="C150" s="1"/>
  <c r="C151" s="1"/>
  <c r="C152" s="1"/>
  <c r="C153" s="1"/>
  <c r="C154" s="1"/>
  <c r="C155" s="1"/>
  <c r="C156" s="1"/>
  <c r="C157" s="1"/>
  <c r="C158" s="1"/>
  <c r="C159" s="1"/>
  <c r="C160" s="1"/>
  <c r="C161" s="1"/>
  <c r="C162" s="1"/>
  <c r="C163" s="1"/>
  <c r="C164" s="1"/>
  <c r="C165" s="1"/>
  <c r="C166" s="1"/>
  <c r="C167" s="1"/>
  <c r="C168" s="1"/>
  <c r="C169" s="1"/>
  <c r="O140"/>
  <c r="B140"/>
  <c r="B140" i="10" s="1"/>
  <c r="E140" i="3"/>
  <c r="E141" s="1"/>
  <c r="E142" s="1"/>
  <c r="E143" s="1"/>
  <c r="E144" s="1"/>
  <c r="E145" s="1"/>
  <c r="E146" s="1"/>
  <c r="E147" s="1"/>
  <c r="E148" s="1"/>
  <c r="E149" s="1"/>
  <c r="E150" s="1"/>
  <c r="E151" s="1"/>
  <c r="E152" s="1"/>
  <c r="E153" s="1"/>
  <c r="E154" s="1"/>
  <c r="E155" s="1"/>
  <c r="E156" s="1"/>
  <c r="E157" s="1"/>
  <c r="E158" s="1"/>
  <c r="E159" s="1"/>
  <c r="E160" s="1"/>
  <c r="E161" s="1"/>
  <c r="E162" s="1"/>
  <c r="E163" s="1"/>
  <c r="E164" s="1"/>
  <c r="E165" s="1"/>
  <c r="E166" s="1"/>
  <c r="E167" s="1"/>
  <c r="E168" s="1"/>
  <c r="E169" s="1"/>
  <c r="B141"/>
  <c r="B141" i="10" s="1"/>
  <c r="O141" i="3"/>
  <c r="B142"/>
  <c r="B142" i="10" s="1"/>
  <c r="O142" i="3"/>
  <c r="B143"/>
  <c r="B143" i="10" s="1"/>
  <c r="O143" i="3"/>
  <c r="B144"/>
  <c r="B144" i="10" s="1"/>
  <c r="O144" i="3"/>
  <c r="B145"/>
  <c r="B145" i="10" s="1"/>
  <c r="O145" i="3"/>
  <c r="O146"/>
  <c r="B146"/>
  <c r="B146" i="10" s="1"/>
  <c r="B147" i="3"/>
  <c r="B147" i="10" s="1"/>
  <c r="O147" i="3"/>
  <c r="O148"/>
  <c r="B148"/>
  <c r="B148" i="10" s="1"/>
  <c r="B149" i="3"/>
  <c r="B149" i="10" s="1"/>
  <c r="O149" i="3"/>
  <c r="B150"/>
  <c r="B150" i="10" s="1"/>
  <c r="O150" i="3"/>
  <c r="B151"/>
  <c r="B151" i="10" s="1"/>
  <c r="O151" i="3"/>
  <c r="B152"/>
  <c r="B152" i="10" s="1"/>
  <c r="O152" i="3"/>
  <c r="B153"/>
  <c r="B153" i="10" s="1"/>
  <c r="O153" i="3"/>
  <c r="B154"/>
  <c r="B154" i="10" s="1"/>
  <c r="O154" i="3"/>
  <c r="B155"/>
  <c r="B155" i="10" s="1"/>
  <c r="O155" i="3"/>
  <c r="B156"/>
  <c r="B156" i="10" s="1"/>
  <c r="O156" i="3"/>
  <c r="B157"/>
  <c r="B157" i="10" s="1"/>
  <c r="O157" i="3"/>
  <c r="B158"/>
  <c r="B158" i="10" s="1"/>
  <c r="O158" i="3"/>
  <c r="B159"/>
  <c r="B159" i="10" s="1"/>
  <c r="O159" i="3"/>
  <c r="O160"/>
  <c r="B160"/>
  <c r="B160" i="10" s="1"/>
  <c r="B161" i="3"/>
  <c r="B161" i="10" s="1"/>
  <c r="O161" i="3"/>
  <c r="B162"/>
  <c r="B162" i="10" s="1"/>
  <c r="O162" i="3"/>
  <c r="B163"/>
  <c r="B163" i="10" s="1"/>
  <c r="O163" i="3"/>
  <c r="B164"/>
  <c r="B164" i="10" s="1"/>
  <c r="O164" i="3"/>
  <c r="B165"/>
  <c r="B165" i="10" s="1"/>
  <c r="O165" i="3"/>
  <c r="B166"/>
  <c r="B166" i="10" s="1"/>
  <c r="O166" i="3"/>
  <c r="B167"/>
  <c r="B167" i="10" s="1"/>
  <c r="O167" i="3"/>
  <c r="B168"/>
  <c r="B168" i="10" s="1"/>
  <c r="O168" i="3"/>
  <c r="B169"/>
  <c r="B169" i="10" s="1"/>
  <c r="O169" i="3"/>
  <c r="R170"/>
  <c r="B170"/>
  <c r="B170" i="10" s="1"/>
  <c r="C170" i="3"/>
  <c r="T170"/>
  <c r="P170"/>
  <c r="L170"/>
  <c r="Q170"/>
  <c r="M170"/>
  <c r="I170"/>
  <c r="E170"/>
  <c r="N170"/>
  <c r="F170"/>
  <c r="O170"/>
  <c r="G170"/>
  <c r="R171"/>
  <c r="B171"/>
  <c r="B171" i="10" s="1"/>
  <c r="O171" i="3"/>
  <c r="C171"/>
  <c r="T171"/>
  <c r="P171"/>
  <c r="L171"/>
  <c r="Q171"/>
  <c r="M171"/>
  <c r="I171"/>
  <c r="E171"/>
  <c r="N171"/>
  <c r="F171"/>
  <c r="G171"/>
  <c r="R172"/>
  <c r="N172"/>
  <c r="F172"/>
  <c r="T172"/>
  <c r="P172"/>
  <c r="L172"/>
  <c r="Q172"/>
  <c r="M172"/>
  <c r="I172"/>
  <c r="E172"/>
  <c r="B172"/>
  <c r="B172" i="10" s="1"/>
  <c r="O172" i="3"/>
  <c r="G172"/>
  <c r="C172"/>
  <c r="R173"/>
  <c r="B173"/>
  <c r="B173" i="10" s="1"/>
  <c r="C173" i="3"/>
  <c r="T173"/>
  <c r="P173"/>
  <c r="L173"/>
  <c r="Q173"/>
  <c r="M173"/>
  <c r="I173"/>
  <c r="E173"/>
  <c r="N173"/>
  <c r="F173"/>
  <c r="O173"/>
  <c r="G173"/>
  <c r="R174"/>
  <c r="C174"/>
  <c r="T174"/>
  <c r="P174"/>
  <c r="Q174"/>
  <c r="L174"/>
  <c r="M174"/>
  <c r="I174"/>
  <c r="E174"/>
  <c r="N174"/>
  <c r="O174"/>
  <c r="F174"/>
  <c r="B174"/>
  <c r="B174" i="10" s="1"/>
  <c r="G174" i="3"/>
  <c r="R175"/>
  <c r="B175"/>
  <c r="B175" i="10" s="1"/>
  <c r="O175" i="3"/>
  <c r="C175"/>
  <c r="T175"/>
  <c r="P175"/>
  <c r="L175"/>
  <c r="Q175"/>
  <c r="M175"/>
  <c r="I175"/>
  <c r="E175"/>
  <c r="N175"/>
  <c r="F175"/>
  <c r="G175"/>
  <c r="R176"/>
  <c r="B176"/>
  <c r="B176" i="10" s="1"/>
  <c r="O176" i="3"/>
  <c r="G176"/>
  <c r="T176"/>
  <c r="P176"/>
  <c r="L176"/>
  <c r="Q176"/>
  <c r="M176"/>
  <c r="I176"/>
  <c r="E176"/>
  <c r="N176"/>
  <c r="F176"/>
  <c r="C176"/>
  <c r="R177"/>
  <c r="N177"/>
  <c r="F177"/>
  <c r="B177"/>
  <c r="B177" i="10" s="1"/>
  <c r="O177" i="3"/>
  <c r="C177"/>
  <c r="T177"/>
  <c r="P177"/>
  <c r="L177"/>
  <c r="Q177"/>
  <c r="M177"/>
  <c r="I177"/>
  <c r="E177"/>
  <c r="G177"/>
  <c r="R178"/>
  <c r="N178"/>
  <c r="F178"/>
  <c r="C178"/>
  <c r="T178"/>
  <c r="P178"/>
  <c r="L178"/>
  <c r="Q178"/>
  <c r="M178"/>
  <c r="I178"/>
  <c r="E178"/>
  <c r="B178"/>
  <c r="B178" i="10" s="1"/>
  <c r="O178" i="3"/>
  <c r="G178"/>
  <c r="R179"/>
  <c r="N179"/>
  <c r="F179"/>
  <c r="B179"/>
  <c r="B179" i="10" s="1"/>
  <c r="O179" i="3"/>
  <c r="G179"/>
  <c r="C179"/>
  <c r="T179"/>
  <c r="P179"/>
  <c r="L179"/>
  <c r="Q179"/>
  <c r="M179"/>
  <c r="I179"/>
  <c r="E179"/>
  <c r="R180"/>
  <c r="N180"/>
  <c r="F180"/>
  <c r="B180"/>
  <c r="B180" i="10" s="1"/>
  <c r="O180" i="3"/>
  <c r="G180"/>
  <c r="C180"/>
  <c r="T180"/>
  <c r="P180"/>
  <c r="L180"/>
  <c r="Q180"/>
  <c r="M180"/>
  <c r="I180"/>
  <c r="E180"/>
  <c r="R181"/>
  <c r="N181"/>
  <c r="F181"/>
  <c r="B181"/>
  <c r="B181" i="10" s="1"/>
  <c r="O181" i="3"/>
  <c r="G181"/>
  <c r="C181"/>
  <c r="T181"/>
  <c r="P181"/>
  <c r="L181"/>
  <c r="Q181"/>
  <c r="M181"/>
  <c r="I181"/>
  <c r="E181"/>
  <c r="R182"/>
  <c r="N182"/>
  <c r="F182"/>
  <c r="B182"/>
  <c r="B182" i="10" s="1"/>
  <c r="O182" i="3"/>
  <c r="C182"/>
  <c r="T182"/>
  <c r="P182"/>
  <c r="L182"/>
  <c r="Q182"/>
  <c r="M182"/>
  <c r="I182"/>
  <c r="E182"/>
  <c r="G182"/>
  <c r="T184"/>
  <c r="R184"/>
  <c r="P184"/>
  <c r="N184"/>
  <c r="L184"/>
  <c r="F184"/>
  <c r="B184"/>
  <c r="B184" i="10" s="1"/>
  <c r="A185" i="3"/>
  <c r="Q184"/>
  <c r="O184"/>
  <c r="M184"/>
  <c r="I184"/>
  <c r="G184"/>
  <c r="E184"/>
  <c r="C184"/>
  <c r="E183"/>
  <c r="I183"/>
  <c r="M183"/>
  <c r="Q183"/>
  <c r="L183"/>
  <c r="P183"/>
  <c r="T183"/>
  <c r="N183"/>
  <c r="R183"/>
  <c r="T116"/>
  <c r="T117"/>
  <c r="P117"/>
  <c r="L117"/>
  <c r="H117"/>
  <c r="F117"/>
  <c r="D117"/>
  <c r="B117"/>
  <c r="B117" i="10" s="1"/>
  <c r="A118" i="3"/>
  <c r="O117"/>
  <c r="M117"/>
  <c r="I117"/>
  <c r="G117"/>
  <c r="E117"/>
  <c r="C117"/>
  <c r="C116"/>
  <c r="G116"/>
  <c r="O116"/>
  <c r="B116"/>
  <c r="B116" i="10" s="1"/>
  <c r="F116" i="3"/>
  <c r="E116"/>
  <c r="I116"/>
  <c r="M116"/>
  <c r="D116"/>
  <c r="H116"/>
  <c r="L116"/>
  <c r="P116"/>
  <c r="H72"/>
  <c r="C73"/>
  <c r="C74" s="1"/>
  <c r="C75" s="1"/>
  <c r="C76" s="1"/>
  <c r="C77" s="1"/>
  <c r="C78" s="1"/>
  <c r="C79" s="1"/>
  <c r="C80" s="1"/>
  <c r="C81" s="1"/>
  <c r="C82" s="1"/>
  <c r="C83" s="1"/>
  <c r="C84" s="1"/>
  <c r="C85" s="1"/>
  <c r="C86" s="1"/>
  <c r="C87" s="1"/>
  <c r="C88" s="1"/>
  <c r="C89" s="1"/>
  <c r="C90" s="1"/>
  <c r="C91" s="1"/>
  <c r="C92" s="1"/>
  <c r="C93" s="1"/>
  <c r="C94" s="1"/>
  <c r="C95" s="1"/>
  <c r="C96" s="1"/>
  <c r="C97" s="1"/>
  <c r="C98" s="1"/>
  <c r="C99" s="1"/>
  <c r="C100" s="1"/>
  <c r="C101" s="1"/>
  <c r="C102" s="1"/>
  <c r="O73"/>
  <c r="B73"/>
  <c r="B73" i="10" s="1"/>
  <c r="E73" i="3"/>
  <c r="E74" s="1"/>
  <c r="E75" s="1"/>
  <c r="E76" s="1"/>
  <c r="E77" s="1"/>
  <c r="E78" s="1"/>
  <c r="E79" s="1"/>
  <c r="E80" s="1"/>
  <c r="E81" s="1"/>
  <c r="E82" s="1"/>
  <c r="E83" s="1"/>
  <c r="E84" s="1"/>
  <c r="E85" s="1"/>
  <c r="E86" s="1"/>
  <c r="E87" s="1"/>
  <c r="E88" s="1"/>
  <c r="E89" s="1"/>
  <c r="E90" s="1"/>
  <c r="E91" s="1"/>
  <c r="E92" s="1"/>
  <c r="H73"/>
  <c r="B74"/>
  <c r="B74" i="10" s="1"/>
  <c r="O74" i="3"/>
  <c r="H74"/>
  <c r="H75"/>
  <c r="B75"/>
  <c r="B75" i="10" s="1"/>
  <c r="O75" i="3"/>
  <c r="O76"/>
  <c r="H76"/>
  <c r="B76"/>
  <c r="B76" i="10" s="1"/>
  <c r="O77" i="3"/>
  <c r="H77"/>
  <c r="B77"/>
  <c r="B77" i="10" s="1"/>
  <c r="O78" i="3"/>
  <c r="H78"/>
  <c r="B78"/>
  <c r="B78" i="10" s="1"/>
  <c r="H79" i="3"/>
  <c r="B79"/>
  <c r="B79" i="10" s="1"/>
  <c r="O79" i="3"/>
  <c r="B80"/>
  <c r="B80" i="10" s="1"/>
  <c r="H80" i="3"/>
  <c r="O80"/>
  <c r="H81"/>
  <c r="B81"/>
  <c r="B81" i="10" s="1"/>
  <c r="O81" i="3"/>
  <c r="H82"/>
  <c r="B82"/>
  <c r="B82" i="10" s="1"/>
  <c r="O82" i="3"/>
  <c r="H83"/>
  <c r="B83"/>
  <c r="B83" i="10" s="1"/>
  <c r="O83" i="3"/>
  <c r="H84"/>
  <c r="B84"/>
  <c r="B84" i="10" s="1"/>
  <c r="O84" i="3"/>
  <c r="H85"/>
  <c r="B85"/>
  <c r="B85" i="10" s="1"/>
  <c r="O85" i="3"/>
  <c r="H86"/>
  <c r="B86"/>
  <c r="B86" i="10" s="1"/>
  <c r="O86" i="3"/>
  <c r="H87"/>
  <c r="B87"/>
  <c r="B87" i="10" s="1"/>
  <c r="O87" i="3"/>
  <c r="H88"/>
  <c r="B88"/>
  <c r="B88" i="10" s="1"/>
  <c r="O88" i="3"/>
  <c r="H89"/>
  <c r="B89"/>
  <c r="B89" i="10" s="1"/>
  <c r="O89" i="3"/>
  <c r="H90"/>
  <c r="B90"/>
  <c r="B90" i="10" s="1"/>
  <c r="O90" i="3"/>
  <c r="H91"/>
  <c r="B91"/>
  <c r="B91" i="10" s="1"/>
  <c r="O91" i="3"/>
  <c r="H92"/>
  <c r="B92"/>
  <c r="B92" i="10" s="1"/>
  <c r="O92" i="3"/>
  <c r="H93"/>
  <c r="E93"/>
  <c r="E94" s="1"/>
  <c r="E95" s="1"/>
  <c r="E96" s="1"/>
  <c r="E97" s="1"/>
  <c r="E98" s="1"/>
  <c r="E99" s="1"/>
  <c r="E100" s="1"/>
  <c r="E101" s="1"/>
  <c r="E102" s="1"/>
  <c r="B93"/>
  <c r="B93" i="10" s="1"/>
  <c r="O93" i="3"/>
  <c r="H94"/>
  <c r="B94"/>
  <c r="B94" i="10" s="1"/>
  <c r="O94" i="3"/>
  <c r="H95"/>
  <c r="B95"/>
  <c r="B95" i="10" s="1"/>
  <c r="O95" i="3"/>
  <c r="B96"/>
  <c r="B96" i="10" s="1"/>
  <c r="H96" i="3"/>
  <c r="O96"/>
  <c r="B97"/>
  <c r="B97" i="10" s="1"/>
  <c r="H97" i="3"/>
  <c r="O97"/>
  <c r="H98"/>
  <c r="B98"/>
  <c r="B98" i="10" s="1"/>
  <c r="O98" i="3"/>
  <c r="H99"/>
  <c r="B99"/>
  <c r="B99" i="10" s="1"/>
  <c r="O99" i="3"/>
  <c r="B100"/>
  <c r="B100" i="10" s="1"/>
  <c r="H100" i="3"/>
  <c r="O100"/>
  <c r="H101"/>
  <c r="B101"/>
  <c r="B101" i="10" s="1"/>
  <c r="O101" i="3"/>
  <c r="H102"/>
  <c r="B102"/>
  <c r="B102" i="10" s="1"/>
  <c r="O102" i="3"/>
  <c r="B103"/>
  <c r="B103" i="10" s="1"/>
  <c r="T103" i="3"/>
  <c r="P103"/>
  <c r="L103"/>
  <c r="H103"/>
  <c r="D103"/>
  <c r="M103"/>
  <c r="I103"/>
  <c r="E103"/>
  <c r="F103"/>
  <c r="O103"/>
  <c r="G103"/>
  <c r="C103"/>
  <c r="B104"/>
  <c r="B104" i="10" s="1"/>
  <c r="T104" i="3"/>
  <c r="P104"/>
  <c r="L104"/>
  <c r="H104"/>
  <c r="D104"/>
  <c r="M104"/>
  <c r="I104"/>
  <c r="E104"/>
  <c r="F104"/>
  <c r="O104"/>
  <c r="G104"/>
  <c r="C104"/>
  <c r="T105"/>
  <c r="P105"/>
  <c r="L105"/>
  <c r="H105"/>
  <c r="D105"/>
  <c r="M105"/>
  <c r="I105"/>
  <c r="E105"/>
  <c r="F105"/>
  <c r="B105"/>
  <c r="B105" i="10" s="1"/>
  <c r="O105" i="3"/>
  <c r="G105"/>
  <c r="C105"/>
  <c r="T106"/>
  <c r="P106"/>
  <c r="L106"/>
  <c r="H106"/>
  <c r="D106"/>
  <c r="M106"/>
  <c r="I106"/>
  <c r="E106"/>
  <c r="F106"/>
  <c r="B106"/>
  <c r="B106" i="10" s="1"/>
  <c r="O106" i="3"/>
  <c r="G106"/>
  <c r="C106"/>
  <c r="F107"/>
  <c r="T107"/>
  <c r="P107"/>
  <c r="L107"/>
  <c r="H107"/>
  <c r="D107"/>
  <c r="M107"/>
  <c r="I107"/>
  <c r="E107"/>
  <c r="O107"/>
  <c r="B107"/>
  <c r="B107" i="10" s="1"/>
  <c r="G107" i="3"/>
  <c r="C107"/>
  <c r="T108"/>
  <c r="P108"/>
  <c r="L108"/>
  <c r="H108"/>
  <c r="D108"/>
  <c r="M108"/>
  <c r="I108"/>
  <c r="E108"/>
  <c r="F108"/>
  <c r="B108"/>
  <c r="B108" i="10" s="1"/>
  <c r="O108" i="3"/>
  <c r="G108"/>
  <c r="C108"/>
  <c r="T109"/>
  <c r="P109"/>
  <c r="L109"/>
  <c r="H109"/>
  <c r="D109"/>
  <c r="M109"/>
  <c r="I109"/>
  <c r="E109"/>
  <c r="F109"/>
  <c r="B109"/>
  <c r="B109" i="10" s="1"/>
  <c r="O109" i="3"/>
  <c r="G109"/>
  <c r="C109"/>
  <c r="G110"/>
  <c r="T110"/>
  <c r="P110"/>
  <c r="L110"/>
  <c r="H110"/>
  <c r="D110"/>
  <c r="M110"/>
  <c r="I110"/>
  <c r="E110"/>
  <c r="F110"/>
  <c r="B110"/>
  <c r="B110" i="10" s="1"/>
  <c r="O110" i="3"/>
  <c r="C110"/>
  <c r="F111"/>
  <c r="B111"/>
  <c r="B111" i="10" s="1"/>
  <c r="O111" i="3"/>
  <c r="G111"/>
  <c r="C111"/>
  <c r="T111"/>
  <c r="P111"/>
  <c r="L111"/>
  <c r="H111"/>
  <c r="D111"/>
  <c r="M111"/>
  <c r="I111"/>
  <c r="E111"/>
  <c r="F112"/>
  <c r="B112"/>
  <c r="B112" i="10" s="1"/>
  <c r="O112" i="3"/>
  <c r="G112"/>
  <c r="C112"/>
  <c r="T112"/>
  <c r="P112"/>
  <c r="L112"/>
  <c r="H112"/>
  <c r="D112"/>
  <c r="M112"/>
  <c r="I112"/>
  <c r="E112"/>
  <c r="F113"/>
  <c r="B113"/>
  <c r="B113" i="10" s="1"/>
  <c r="O113" i="3"/>
  <c r="G113"/>
  <c r="C113"/>
  <c r="T113"/>
  <c r="P113"/>
  <c r="L113"/>
  <c r="H113"/>
  <c r="D113"/>
  <c r="M113"/>
  <c r="I113"/>
  <c r="E113"/>
  <c r="F114"/>
  <c r="B114"/>
  <c r="B114" i="10" s="1"/>
  <c r="O114" i="3"/>
  <c r="G114"/>
  <c r="C114"/>
  <c r="T114"/>
  <c r="P114"/>
  <c r="L114"/>
  <c r="H114"/>
  <c r="D114"/>
  <c r="M114"/>
  <c r="I114"/>
  <c r="E114"/>
  <c r="F115"/>
  <c r="B115"/>
  <c r="B115" i="10" s="1"/>
  <c r="O115" i="3"/>
  <c r="G115"/>
  <c r="T115"/>
  <c r="P115"/>
  <c r="L115"/>
  <c r="H115"/>
  <c r="D115"/>
  <c r="M115"/>
  <c r="I115"/>
  <c r="E115"/>
  <c r="C115"/>
  <c r="V7" i="7"/>
  <c r="V8"/>
  <c r="V9"/>
  <c r="V10"/>
  <c r="V11"/>
  <c r="V12"/>
  <c r="V13"/>
  <c r="V14"/>
  <c r="V15"/>
  <c r="V16"/>
  <c r="V17"/>
  <c r="V18"/>
  <c r="V19"/>
  <c r="V20"/>
  <c r="V21"/>
  <c r="V22"/>
  <c r="V23"/>
  <c r="V24"/>
  <c r="V25"/>
  <c r="V26"/>
  <c r="V27"/>
  <c r="V28"/>
  <c r="V29"/>
  <c r="V30"/>
  <c r="V31"/>
  <c r="V32"/>
  <c r="V33"/>
  <c r="V34"/>
  <c r="V35"/>
  <c r="V36"/>
  <c r="R37"/>
  <c r="T37"/>
  <c r="V37"/>
  <c r="X37"/>
  <c r="R38"/>
  <c r="T38"/>
  <c r="V38"/>
  <c r="X38"/>
  <c r="R39"/>
  <c r="T39"/>
  <c r="V39"/>
  <c r="X39"/>
  <c r="R40"/>
  <c r="T40"/>
  <c r="V40"/>
  <c r="X40"/>
  <c r="R41"/>
  <c r="T41"/>
  <c r="V41"/>
  <c r="X41"/>
  <c r="R42"/>
  <c r="T42"/>
  <c r="V42"/>
  <c r="X42"/>
  <c r="R43"/>
  <c r="T43"/>
  <c r="V43"/>
  <c r="X43"/>
  <c r="R44"/>
  <c r="T44"/>
  <c r="V44"/>
  <c r="X44"/>
  <c r="R45"/>
  <c r="T45"/>
  <c r="V45"/>
  <c r="X45"/>
  <c r="R46"/>
  <c r="T46"/>
  <c r="V46"/>
  <c r="X46"/>
  <c r="R47"/>
  <c r="T47"/>
  <c r="V47"/>
  <c r="X47"/>
  <c r="R48"/>
  <c r="T48"/>
  <c r="V48"/>
  <c r="X48"/>
  <c r="R49"/>
  <c r="T49"/>
  <c r="V49"/>
  <c r="X49"/>
  <c r="R50"/>
  <c r="T50"/>
  <c r="V50"/>
  <c r="X50"/>
  <c r="R51"/>
  <c r="T51"/>
  <c r="V51"/>
  <c r="X51"/>
  <c r="R52"/>
  <c r="T52"/>
  <c r="V52"/>
  <c r="X52"/>
  <c r="R53"/>
  <c r="T53"/>
  <c r="V53"/>
  <c r="X53"/>
  <c r="R54"/>
  <c r="T54"/>
  <c r="V54"/>
  <c r="X54"/>
  <c r="R55"/>
  <c r="T55"/>
  <c r="V55"/>
  <c r="X55"/>
  <c r="R56"/>
  <c r="T56"/>
  <c r="V56"/>
  <c r="X56"/>
  <c r="R57"/>
  <c r="T57"/>
  <c r="V57"/>
  <c r="X57"/>
  <c r="R58"/>
  <c r="T58"/>
  <c r="V58"/>
  <c r="X58"/>
  <c r="R59"/>
  <c r="T59"/>
  <c r="V59"/>
  <c r="X59"/>
  <c r="R60"/>
  <c r="T60"/>
  <c r="V60"/>
  <c r="X60"/>
  <c r="R61"/>
  <c r="T61"/>
  <c r="V61"/>
  <c r="X61"/>
  <c r="R62"/>
  <c r="T62"/>
  <c r="V62"/>
  <c r="X62"/>
  <c r="R63"/>
  <c r="T63"/>
  <c r="V63"/>
  <c r="X63"/>
  <c r="R64"/>
  <c r="T64"/>
  <c r="V64"/>
  <c r="X64"/>
  <c r="R65"/>
  <c r="T65"/>
  <c r="V65"/>
  <c r="X65"/>
  <c r="Q37"/>
  <c r="S37"/>
  <c r="U37"/>
  <c r="W37"/>
  <c r="Q38"/>
  <c r="S38"/>
  <c r="U38"/>
  <c r="W38"/>
  <c r="Q39"/>
  <c r="S39"/>
  <c r="U39"/>
  <c r="W39"/>
  <c r="Q40"/>
  <c r="S40"/>
  <c r="U40"/>
  <c r="W40"/>
  <c r="Q41"/>
  <c r="S41"/>
  <c r="U41"/>
  <c r="W41"/>
  <c r="Q42"/>
  <c r="S42"/>
  <c r="U42"/>
  <c r="W42"/>
  <c r="Q43"/>
  <c r="S43"/>
  <c r="U43"/>
  <c r="W43"/>
  <c r="Q44"/>
  <c r="S44"/>
  <c r="U44"/>
  <c r="W44"/>
  <c r="Q45"/>
  <c r="S45"/>
  <c r="U45"/>
  <c r="W45"/>
  <c r="Q46"/>
  <c r="S46"/>
  <c r="U46"/>
  <c r="W46"/>
  <c r="Q47"/>
  <c r="S47"/>
  <c r="U47"/>
  <c r="W47"/>
  <c r="Q48"/>
  <c r="S48"/>
  <c r="U48"/>
  <c r="W48"/>
  <c r="Q49"/>
  <c r="S49"/>
  <c r="U49"/>
  <c r="W49"/>
  <c r="Q50"/>
  <c r="S50"/>
  <c r="U50"/>
  <c r="W50"/>
  <c r="Q51"/>
  <c r="S51"/>
  <c r="U51"/>
  <c r="W51"/>
  <c r="Q52"/>
  <c r="S52"/>
  <c r="U52"/>
  <c r="W52"/>
  <c r="Q53"/>
  <c r="S53"/>
  <c r="U53"/>
  <c r="W53"/>
  <c r="Q54"/>
  <c r="S54"/>
  <c r="U54"/>
  <c r="W54"/>
  <c r="Q55"/>
  <c r="S55"/>
  <c r="U55"/>
  <c r="W55"/>
  <c r="Q56"/>
  <c r="S56"/>
  <c r="U56"/>
  <c r="W56"/>
  <c r="Q57"/>
  <c r="S57"/>
  <c r="U57"/>
  <c r="W57"/>
  <c r="Q58"/>
  <c r="S58"/>
  <c r="U58"/>
  <c r="W58"/>
  <c r="Q59"/>
  <c r="S59"/>
  <c r="U59"/>
  <c r="W59"/>
  <c r="Q60"/>
  <c r="S60"/>
  <c r="U60"/>
  <c r="W60"/>
  <c r="Q61"/>
  <c r="S61"/>
  <c r="U61"/>
  <c r="W61"/>
  <c r="Q62"/>
  <c r="S62"/>
  <c r="U62"/>
  <c r="W62"/>
  <c r="Q63"/>
  <c r="S63"/>
  <c r="U63"/>
  <c r="W63"/>
  <c r="Q64"/>
  <c r="S64"/>
  <c r="U64"/>
  <c r="W64"/>
  <c r="Q65"/>
  <c r="S65"/>
  <c r="U65"/>
  <c r="W65"/>
  <c r="V6"/>
  <c r="S6"/>
  <c r="T6" s="1"/>
  <c r="R6"/>
  <c r="R7" s="1"/>
  <c r="R8" s="1"/>
  <c r="R9" s="1"/>
  <c r="R10" s="1"/>
  <c r="R11" s="1"/>
  <c r="R12" s="1"/>
  <c r="R13" s="1"/>
  <c r="R14" s="1"/>
  <c r="R15" s="1"/>
  <c r="R16" s="1"/>
  <c r="R17" s="1"/>
  <c r="R18" s="1"/>
  <c r="R19" s="1"/>
  <c r="R20" s="1"/>
  <c r="R21" s="1"/>
  <c r="R22" s="1"/>
  <c r="R23" s="1"/>
  <c r="R24" s="1"/>
  <c r="R25" s="1"/>
  <c r="R26" s="1"/>
  <c r="R27" s="1"/>
  <c r="R28" s="1"/>
  <c r="R29" s="1"/>
  <c r="R30" s="1"/>
  <c r="R31" s="1"/>
  <c r="R32" s="1"/>
  <c r="R33" s="1"/>
  <c r="R34" s="1"/>
  <c r="R35" s="1"/>
  <c r="R36" s="1"/>
  <c r="V5"/>
  <c r="H5" i="3"/>
  <c r="U5" i="7"/>
  <c r="A49" i="14" s="1"/>
  <c r="E3" i="3"/>
  <c r="J17" i="1"/>
  <c r="D37" i="9" l="1"/>
  <c r="V66" i="5"/>
  <c r="N19"/>
  <c r="U66"/>
  <c r="A52" i="14"/>
  <c r="L66" i="5"/>
  <c r="A75" i="14"/>
  <c r="X22" i="9"/>
  <c r="X20"/>
  <c r="A71" i="14"/>
  <c r="L169" i="3"/>
  <c r="L162"/>
  <c r="V22" i="9"/>
  <c r="L160" i="3"/>
  <c r="L168"/>
  <c r="L164"/>
  <c r="L165"/>
  <c r="L161"/>
  <c r="L166"/>
  <c r="L167"/>
  <c r="L163"/>
  <c r="Z5" i="7"/>
  <c r="J72" i="3" s="1"/>
  <c r="T185"/>
  <c r="R185"/>
  <c r="P185"/>
  <c r="N185"/>
  <c r="L185"/>
  <c r="F185"/>
  <c r="B185"/>
  <c r="B185" i="10" s="1"/>
  <c r="A186" i="3"/>
  <c r="Q185"/>
  <c r="O185"/>
  <c r="M185"/>
  <c r="I185"/>
  <c r="G185"/>
  <c r="E185"/>
  <c r="C185"/>
  <c r="D72"/>
  <c r="T118"/>
  <c r="P118"/>
  <c r="L118"/>
  <c r="H118"/>
  <c r="F118"/>
  <c r="D118"/>
  <c r="B118"/>
  <c r="B118" i="10" s="1"/>
  <c r="A119" i="3"/>
  <c r="O118"/>
  <c r="M118"/>
  <c r="I118"/>
  <c r="G118"/>
  <c r="E118"/>
  <c r="C118"/>
  <c r="S7" i="7"/>
  <c r="U6"/>
  <c r="D5" i="3"/>
  <c r="W5" i="7"/>
  <c r="F45" i="1"/>
  <c r="D186" i="3" l="1"/>
  <c r="J186"/>
  <c r="K119"/>
  <c r="J119"/>
  <c r="Z6" i="7"/>
  <c r="A19" i="14"/>
  <c r="T186" i="3"/>
  <c r="R186"/>
  <c r="P186"/>
  <c r="N186"/>
  <c r="L186"/>
  <c r="F186"/>
  <c r="B186"/>
  <c r="B186" i="10" s="1"/>
  <c r="A187" i="3"/>
  <c r="Q186"/>
  <c r="O186"/>
  <c r="M186"/>
  <c r="I186"/>
  <c r="G186"/>
  <c r="E186"/>
  <c r="C186"/>
  <c r="M139"/>
  <c r="I139"/>
  <c r="T119"/>
  <c r="P119"/>
  <c r="L119"/>
  <c r="H119"/>
  <c r="F119"/>
  <c r="D119"/>
  <c r="B119"/>
  <c r="B119" i="10" s="1"/>
  <c r="A120" i="3"/>
  <c r="O119"/>
  <c r="M119"/>
  <c r="I119"/>
  <c r="G119"/>
  <c r="E119"/>
  <c r="C119"/>
  <c r="M72"/>
  <c r="I72"/>
  <c r="T7" i="7"/>
  <c r="U7" s="1"/>
  <c r="S8"/>
  <c r="W6"/>
  <c r="X5"/>
  <c r="F40" i="1"/>
  <c r="D40"/>
  <c r="D187" i="3" l="1"/>
  <c r="J187"/>
  <c r="K120"/>
  <c r="J120"/>
  <c r="Z7" i="7"/>
  <c r="J73" i="3"/>
  <c r="L139"/>
  <c r="M138"/>
  <c r="T187"/>
  <c r="R187"/>
  <c r="P187"/>
  <c r="N187"/>
  <c r="L187"/>
  <c r="F187"/>
  <c r="B187"/>
  <c r="B187" i="10" s="1"/>
  <c r="A188" i="3"/>
  <c r="Q187"/>
  <c r="O187"/>
  <c r="M187"/>
  <c r="I187"/>
  <c r="G187"/>
  <c r="E187"/>
  <c r="C187"/>
  <c r="L72"/>
  <c r="M71"/>
  <c r="T120"/>
  <c r="P120"/>
  <c r="L120"/>
  <c r="H120"/>
  <c r="F120"/>
  <c r="D120"/>
  <c r="B120"/>
  <c r="B120" i="10" s="1"/>
  <c r="A121" i="3"/>
  <c r="O120"/>
  <c r="M120"/>
  <c r="I120"/>
  <c r="G120"/>
  <c r="E120"/>
  <c r="C120"/>
  <c r="W7" i="7"/>
  <c r="T8"/>
  <c r="U8" s="1"/>
  <c r="S9"/>
  <c r="J5" i="3"/>
  <c r="X6" i="7"/>
  <c r="L140" i="3" s="1"/>
  <c r="A6"/>
  <c r="D188" l="1"/>
  <c r="J188"/>
  <c r="J121"/>
  <c r="K121"/>
  <c r="Z8" i="7"/>
  <c r="J74" i="3"/>
  <c r="T188"/>
  <c r="R188"/>
  <c r="P188"/>
  <c r="N188"/>
  <c r="L188"/>
  <c r="F188"/>
  <c r="B188"/>
  <c r="B188" i="10" s="1"/>
  <c r="A189" i="3"/>
  <c r="Q188"/>
  <c r="O188"/>
  <c r="M188"/>
  <c r="I188"/>
  <c r="G188"/>
  <c r="E188"/>
  <c r="C188"/>
  <c r="AC5" i="7"/>
  <c r="Q6"/>
  <c r="B6" i="3"/>
  <c r="H6"/>
  <c r="X7" i="7"/>
  <c r="L73" i="3"/>
  <c r="T121"/>
  <c r="P121"/>
  <c r="L121"/>
  <c r="H121"/>
  <c r="F121"/>
  <c r="D121"/>
  <c r="B121"/>
  <c r="B121" i="10" s="1"/>
  <c r="A122" i="3"/>
  <c r="O121"/>
  <c r="M121"/>
  <c r="I121"/>
  <c r="G121"/>
  <c r="E121"/>
  <c r="C121"/>
  <c r="W8" i="7"/>
  <c r="X8" s="1"/>
  <c r="T9"/>
  <c r="U9" s="1"/>
  <c r="S10"/>
  <c r="J6" i="3"/>
  <c r="O6"/>
  <c r="F37" i="1"/>
  <c r="K14" s="1"/>
  <c r="K40"/>
  <c r="F140" i="3" s="1"/>
  <c r="K36" i="1"/>
  <c r="K35"/>
  <c r="B28" i="7"/>
  <c r="B30"/>
  <c r="B27"/>
  <c r="A31"/>
  <c r="A32" s="1"/>
  <c r="A33" s="1"/>
  <c r="A34" s="1"/>
  <c r="A35" s="1"/>
  <c r="A36" s="1"/>
  <c r="A37" s="1"/>
  <c r="A38" s="1"/>
  <c r="A39" s="1"/>
  <c r="A40" s="1"/>
  <c r="A41" s="1"/>
  <c r="A42" s="1"/>
  <c r="A43" s="1"/>
  <c r="A44" s="1"/>
  <c r="A45" s="1"/>
  <c r="A46" s="1"/>
  <c r="A47" s="1"/>
  <c r="A48" s="1"/>
  <c r="A49" s="1"/>
  <c r="A50" s="1"/>
  <c r="A51" s="1"/>
  <c r="A52" s="1"/>
  <c r="A53" s="1"/>
  <c r="A54" s="1"/>
  <c r="A55" s="1"/>
  <c r="A56" s="1"/>
  <c r="A57" s="1"/>
  <c r="A58" s="1"/>
  <c r="A59" s="1"/>
  <c r="A60" s="1"/>
  <c r="A61" s="1"/>
  <c r="A62" s="1"/>
  <c r="A63" s="1"/>
  <c r="A64" s="1"/>
  <c r="A65" s="1"/>
  <c r="A66" s="1"/>
  <c r="A67" s="1"/>
  <c r="A68" s="1"/>
  <c r="A69" s="1"/>
  <c r="A70" s="1"/>
  <c r="A71" s="1"/>
  <c r="A72" s="1"/>
  <c r="A73" s="1"/>
  <c r="A74" s="1"/>
  <c r="A75" s="1"/>
  <c r="A76" s="1"/>
  <c r="A77" s="1"/>
  <c r="A78" s="1"/>
  <c r="A79" s="1"/>
  <c r="A80" s="1"/>
  <c r="A81" s="1"/>
  <c r="A82" s="1"/>
  <c r="A83" s="1"/>
  <c r="A84" s="1"/>
  <c r="A85" s="1"/>
  <c r="A86" s="1"/>
  <c r="A87" s="1"/>
  <c r="A88" s="1"/>
  <c r="A89" s="1"/>
  <c r="A90" s="1"/>
  <c r="A91" s="1"/>
  <c r="A92" s="1"/>
  <c r="A93" s="1"/>
  <c r="A94" s="1"/>
  <c r="A95" s="1"/>
  <c r="A96" s="1"/>
  <c r="A97" s="1"/>
  <c r="A98" s="1"/>
  <c r="A99" s="1"/>
  <c r="A100" s="1"/>
  <c r="A101" s="1"/>
  <c r="A102" s="1"/>
  <c r="A103" s="1"/>
  <c r="A104" s="1"/>
  <c r="A105" s="1"/>
  <c r="A106" s="1"/>
  <c r="A107" s="1"/>
  <c r="A108" s="1"/>
  <c r="A109" s="1"/>
  <c r="A110" s="1"/>
  <c r="A111" s="1"/>
  <c r="A112" s="1"/>
  <c r="A113" s="1"/>
  <c r="A114" s="1"/>
  <c r="A115" s="1"/>
  <c r="A116" s="1"/>
  <c r="A117" s="1"/>
  <c r="A118" s="1"/>
  <c r="A119" s="1"/>
  <c r="A120" s="1"/>
  <c r="A121" s="1"/>
  <c r="A122" s="1"/>
  <c r="A123" s="1"/>
  <c r="A124" s="1"/>
  <c r="A125" s="1"/>
  <c r="A126" s="1"/>
  <c r="A127" s="1"/>
  <c r="A128" s="1"/>
  <c r="A129" s="1"/>
  <c r="A130" s="1"/>
  <c r="A131" s="1"/>
  <c r="A132" s="1"/>
  <c r="A133" s="1"/>
  <c r="A134" s="1"/>
  <c r="A135" s="1"/>
  <c r="A136" s="1"/>
  <c r="A137" s="1"/>
  <c r="A138" s="1"/>
  <c r="A139" s="1"/>
  <c r="A140" s="1"/>
  <c r="A141" s="1"/>
  <c r="A142" s="1"/>
  <c r="A143" s="1"/>
  <c r="A144" s="1"/>
  <c r="A145" s="1"/>
  <c r="A146" s="1"/>
  <c r="A147" s="1"/>
  <c r="A148" s="1"/>
  <c r="A149" s="1"/>
  <c r="A150" s="1"/>
  <c r="A151" s="1"/>
  <c r="A152" s="1"/>
  <c r="A153" s="1"/>
  <c r="A154" s="1"/>
  <c r="A155" s="1"/>
  <c r="A156" s="1"/>
  <c r="A157" s="1"/>
  <c r="A158" s="1"/>
  <c r="A159" s="1"/>
  <c r="A160" s="1"/>
  <c r="A161" s="1"/>
  <c r="A162" s="1"/>
  <c r="A163" s="1"/>
  <c r="A164" s="1"/>
  <c r="A165" s="1"/>
  <c r="A166" s="1"/>
  <c r="A167" s="1"/>
  <c r="A168" s="1"/>
  <c r="A169" s="1"/>
  <c r="A170" s="1"/>
  <c r="A171" s="1"/>
  <c r="A172" s="1"/>
  <c r="A173" s="1"/>
  <c r="A174" s="1"/>
  <c r="A175" s="1"/>
  <c r="A176" s="1"/>
  <c r="A177" s="1"/>
  <c r="A178" s="1"/>
  <c r="A179" s="1"/>
  <c r="A180" s="1"/>
  <c r="A181" s="1"/>
  <c r="A182" s="1"/>
  <c r="A183" s="1"/>
  <c r="A184" s="1"/>
  <c r="A185" s="1"/>
  <c r="A186" s="1"/>
  <c r="A187" s="1"/>
  <c r="A188" s="1"/>
  <c r="A189" s="1"/>
  <c r="A190" s="1"/>
  <c r="A191" s="1"/>
  <c r="A192" s="1"/>
  <c r="A193" s="1"/>
  <c r="A194" s="1"/>
  <c r="A195" s="1"/>
  <c r="A196" s="1"/>
  <c r="A197" s="1"/>
  <c r="A198" s="1"/>
  <c r="A199" s="1"/>
  <c r="A200" s="1"/>
  <c r="A201" s="1"/>
  <c r="A202" s="1"/>
  <c r="A203" s="1"/>
  <c r="A204" s="1"/>
  <c r="A205" s="1"/>
  <c r="A206" s="1"/>
  <c r="A207" s="1"/>
  <c r="A208" s="1"/>
  <c r="A209" s="1"/>
  <c r="A210" s="1"/>
  <c r="A211" s="1"/>
  <c r="A212" s="1"/>
  <c r="A213" s="1"/>
  <c r="A214" s="1"/>
  <c r="A215" s="1"/>
  <c r="A216" s="1"/>
  <c r="A217" s="1"/>
  <c r="A218" s="1"/>
  <c r="A219" s="1"/>
  <c r="A220" s="1"/>
  <c r="A221" s="1"/>
  <c r="A222" s="1"/>
  <c r="A223" s="1"/>
  <c r="A224" s="1"/>
  <c r="A225" s="1"/>
  <c r="A226" s="1"/>
  <c r="A227" s="1"/>
  <c r="A228" s="1"/>
  <c r="A229" s="1"/>
  <c r="A230" s="1"/>
  <c r="A231" s="1"/>
  <c r="A232" s="1"/>
  <c r="A233" s="1"/>
  <c r="A234" s="1"/>
  <c r="A235" s="1"/>
  <c r="A236" s="1"/>
  <c r="A237" s="1"/>
  <c r="A238" s="1"/>
  <c r="A239" s="1"/>
  <c r="A240" s="1"/>
  <c r="A241" s="1"/>
  <c r="A242" s="1"/>
  <c r="A243" s="1"/>
  <c r="A244" s="1"/>
  <c r="A245" s="1"/>
  <c r="A246" s="1"/>
  <c r="A247" s="1"/>
  <c r="A248" s="1"/>
  <c r="A249" s="1"/>
  <c r="A250" s="1"/>
  <c r="A251" s="1"/>
  <c r="A252" s="1"/>
  <c r="A253" s="1"/>
  <c r="A254" s="1"/>
  <c r="A255" s="1"/>
  <c r="A256" s="1"/>
  <c r="A257" s="1"/>
  <c r="A258" s="1"/>
  <c r="A259" s="1"/>
  <c r="A260" s="1"/>
  <c r="A261" s="1"/>
  <c r="A262" s="1"/>
  <c r="A263" s="1"/>
  <c r="A264" s="1"/>
  <c r="A265" s="1"/>
  <c r="A266" s="1"/>
  <c r="A267" s="1"/>
  <c r="A268" s="1"/>
  <c r="A269" s="1"/>
  <c r="A270" s="1"/>
  <c r="A271" s="1"/>
  <c r="A272" s="1"/>
  <c r="A273" s="1"/>
  <c r="A274" s="1"/>
  <c r="A275" s="1"/>
  <c r="A276" s="1"/>
  <c r="A277" s="1"/>
  <c r="A278" s="1"/>
  <c r="A279" s="1"/>
  <c r="A280" s="1"/>
  <c r="A281" s="1"/>
  <c r="A282" s="1"/>
  <c r="A283" s="1"/>
  <c r="A284" s="1"/>
  <c r="A285" s="1"/>
  <c r="A286" s="1"/>
  <c r="A287" s="1"/>
  <c r="A288" s="1"/>
  <c r="A289" s="1"/>
  <c r="A290" s="1"/>
  <c r="A291" s="1"/>
  <c r="A292" s="1"/>
  <c r="A293" s="1"/>
  <c r="A294" s="1"/>
  <c r="A295" s="1"/>
  <c r="A296" s="1"/>
  <c r="A297" s="1"/>
  <c r="A298" s="1"/>
  <c r="A299" s="1"/>
  <c r="A300" s="1"/>
  <c r="A301" s="1"/>
  <c r="A302" s="1"/>
  <c r="A303" s="1"/>
  <c r="A304" s="1"/>
  <c r="A305" s="1"/>
  <c r="A306" s="1"/>
  <c r="A307" s="1"/>
  <c r="A308" s="1"/>
  <c r="A309" s="1"/>
  <c r="A310" s="1"/>
  <c r="A311" s="1"/>
  <c r="A312" s="1"/>
  <c r="A313" s="1"/>
  <c r="A314" s="1"/>
  <c r="A315" s="1"/>
  <c r="A316" s="1"/>
  <c r="A317" s="1"/>
  <c r="A318" s="1"/>
  <c r="A319" s="1"/>
  <c r="A320" s="1"/>
  <c r="A321" s="1"/>
  <c r="A322" s="1"/>
  <c r="A323" s="1"/>
  <c r="A324" s="1"/>
  <c r="A325" s="1"/>
  <c r="A326" s="1"/>
  <c r="A327" s="1"/>
  <c r="A328" s="1"/>
  <c r="A329" s="1"/>
  <c r="A330" s="1"/>
  <c r="A331" s="1"/>
  <c r="A332" s="1"/>
  <c r="A333" s="1"/>
  <c r="A334" s="1"/>
  <c r="A335" s="1"/>
  <c r="A336" s="1"/>
  <c r="A337" s="1"/>
  <c r="A338" s="1"/>
  <c r="A339" s="1"/>
  <c r="A340" s="1"/>
  <c r="A341" s="1"/>
  <c r="A342" s="1"/>
  <c r="A343" s="1"/>
  <c r="A344" s="1"/>
  <c r="A345" s="1"/>
  <c r="A346" s="1"/>
  <c r="A347" s="1"/>
  <c r="A348" s="1"/>
  <c r="A349" s="1"/>
  <c r="A350" s="1"/>
  <c r="A351" s="1"/>
  <c r="A352" s="1"/>
  <c r="A353" s="1"/>
  <c r="A354" s="1"/>
  <c r="A355" s="1"/>
  <c r="A356" s="1"/>
  <c r="A357" s="1"/>
  <c r="A358" s="1"/>
  <c r="A359" s="1"/>
  <c r="A360" s="1"/>
  <c r="A361" s="1"/>
  <c r="A362" s="1"/>
  <c r="A363" s="1"/>
  <c r="A364" s="1"/>
  <c r="A365" s="1"/>
  <c r="A366" s="1"/>
  <c r="A367" s="1"/>
  <c r="A368" s="1"/>
  <c r="A369" s="1"/>
  <c r="A370" s="1"/>
  <c r="A371" s="1"/>
  <c r="A372" s="1"/>
  <c r="A373" s="1"/>
  <c r="A374" s="1"/>
  <c r="A375" s="1"/>
  <c r="A376" s="1"/>
  <c r="A377" s="1"/>
  <c r="A378" s="1"/>
  <c r="A379" s="1"/>
  <c r="A380" s="1"/>
  <c r="A381" s="1"/>
  <c r="A382" s="1"/>
  <c r="A383" s="1"/>
  <c r="A384" s="1"/>
  <c r="A385" s="1"/>
  <c r="A386" s="1"/>
  <c r="A387" s="1"/>
  <c r="A388" s="1"/>
  <c r="A389" s="1"/>
  <c r="A390" s="1"/>
  <c r="A391" s="1"/>
  <c r="A392" s="1"/>
  <c r="A393" s="1"/>
  <c r="A394" s="1"/>
  <c r="A395" s="1"/>
  <c r="A396" s="1"/>
  <c r="A397" s="1"/>
  <c r="A398" s="1"/>
  <c r="A399" s="1"/>
  <c r="A400" s="1"/>
  <c r="A401" s="1"/>
  <c r="A402" s="1"/>
  <c r="A403" s="1"/>
  <c r="A404" s="1"/>
  <c r="A405" s="1"/>
  <c r="A406" s="1"/>
  <c r="A407" s="1"/>
  <c r="A408" s="1"/>
  <c r="A409" s="1"/>
  <c r="A410" s="1"/>
  <c r="A411" s="1"/>
  <c r="A412" s="1"/>
  <c r="A413" s="1"/>
  <c r="A414" s="1"/>
  <c r="A415" s="1"/>
  <c r="A416" s="1"/>
  <c r="A417" s="1"/>
  <c r="A418" s="1"/>
  <c r="A419" s="1"/>
  <c r="A420" s="1"/>
  <c r="A421" s="1"/>
  <c r="A422" s="1"/>
  <c r="A423" s="1"/>
  <c r="A424" s="1"/>
  <c r="A425" s="1"/>
  <c r="A426" s="1"/>
  <c r="A427" s="1"/>
  <c r="A428" s="1"/>
  <c r="A429" s="1"/>
  <c r="A430" s="1"/>
  <c r="A431" s="1"/>
  <c r="A432" s="1"/>
  <c r="A433" s="1"/>
  <c r="A434" s="1"/>
  <c r="A435" s="1"/>
  <c r="A436" s="1"/>
  <c r="A437" s="1"/>
  <c r="A438" s="1"/>
  <c r="A439" s="1"/>
  <c r="A440" s="1"/>
  <c r="A441" s="1"/>
  <c r="A442" s="1"/>
  <c r="A443" s="1"/>
  <c r="A444" s="1"/>
  <c r="A445" s="1"/>
  <c r="A446" s="1"/>
  <c r="A447" s="1"/>
  <c r="A448" s="1"/>
  <c r="A449" s="1"/>
  <c r="A450" s="1"/>
  <c r="A451" s="1"/>
  <c r="A452" s="1"/>
  <c r="A453" s="1"/>
  <c r="A454" s="1"/>
  <c r="A455" s="1"/>
  <c r="A456" s="1"/>
  <c r="A457" s="1"/>
  <c r="A458" s="1"/>
  <c r="A459" s="1"/>
  <c r="A460" s="1"/>
  <c r="A461" s="1"/>
  <c r="A462" s="1"/>
  <c r="A463" s="1"/>
  <c r="A464" s="1"/>
  <c r="A465" s="1"/>
  <c r="A466" s="1"/>
  <c r="A467" s="1"/>
  <c r="A468" s="1"/>
  <c r="A469" s="1"/>
  <c r="A470" s="1"/>
  <c r="A471" s="1"/>
  <c r="A472" s="1"/>
  <c r="A473" s="1"/>
  <c r="A474" s="1"/>
  <c r="A475" s="1"/>
  <c r="A476" s="1"/>
  <c r="A477" s="1"/>
  <c r="A478" s="1"/>
  <c r="A479" s="1"/>
  <c r="A480" s="1"/>
  <c r="A481" s="1"/>
  <c r="A482" s="1"/>
  <c r="A483" s="1"/>
  <c r="A484" s="1"/>
  <c r="A485" s="1"/>
  <c r="A486" s="1"/>
  <c r="A487" s="1"/>
  <c r="A488" s="1"/>
  <c r="A489" s="1"/>
  <c r="A490" s="1"/>
  <c r="A491" s="1"/>
  <c r="A492" s="1"/>
  <c r="A493" s="1"/>
  <c r="A494" s="1"/>
  <c r="A495" s="1"/>
  <c r="A496" s="1"/>
  <c r="A497" s="1"/>
  <c r="A498" s="1"/>
  <c r="A499" s="1"/>
  <c r="A500" s="1"/>
  <c r="A501" s="1"/>
  <c r="A502" s="1"/>
  <c r="A503" s="1"/>
  <c r="A504" s="1"/>
  <c r="A505" s="1"/>
  <c r="A506" s="1"/>
  <c r="A507" s="1"/>
  <c r="A508" s="1"/>
  <c r="A509" s="1"/>
  <c r="A510" s="1"/>
  <c r="A511" s="1"/>
  <c r="A512" s="1"/>
  <c r="A513" s="1"/>
  <c r="A514" s="1"/>
  <c r="A515" s="1"/>
  <c r="A516" s="1"/>
  <c r="A517" s="1"/>
  <c r="A518" s="1"/>
  <c r="A519" s="1"/>
  <c r="A520" s="1"/>
  <c r="A521" s="1"/>
  <c r="A522" s="1"/>
  <c r="A523" s="1"/>
  <c r="A524" s="1"/>
  <c r="A525" s="1"/>
  <c r="A526" s="1"/>
  <c r="A527" s="1"/>
  <c r="A528" s="1"/>
  <c r="A529" s="1"/>
  <c r="A530" s="1"/>
  <c r="A531" s="1"/>
  <c r="A532" s="1"/>
  <c r="A533" s="1"/>
  <c r="A534" s="1"/>
  <c r="A535" s="1"/>
  <c r="A536" s="1"/>
  <c r="A537" s="1"/>
  <c r="A538" s="1"/>
  <c r="A539" s="1"/>
  <c r="A540" s="1"/>
  <c r="A541" s="1"/>
  <c r="A542" s="1"/>
  <c r="A543" s="1"/>
  <c r="A544" s="1"/>
  <c r="A545" s="1"/>
  <c r="A546" s="1"/>
  <c r="A547" s="1"/>
  <c r="A548" s="1"/>
  <c r="A549" s="1"/>
  <c r="A550" s="1"/>
  <c r="A551" s="1"/>
  <c r="A552" s="1"/>
  <c r="A553" s="1"/>
  <c r="A554" s="1"/>
  <c r="A555" s="1"/>
  <c r="A556" s="1"/>
  <c r="A557" s="1"/>
  <c r="A558" s="1"/>
  <c r="A559" s="1"/>
  <c r="A560" s="1"/>
  <c r="A561" s="1"/>
  <c r="A562" s="1"/>
  <c r="A563" s="1"/>
  <c r="A564" s="1"/>
  <c r="A565" s="1"/>
  <c r="A566" s="1"/>
  <c r="A567" s="1"/>
  <c r="A568" s="1"/>
  <c r="A569" s="1"/>
  <c r="A570" s="1"/>
  <c r="A571" s="1"/>
  <c r="A572" s="1"/>
  <c r="A573" s="1"/>
  <c r="A574" s="1"/>
  <c r="A575" s="1"/>
  <c r="A576" s="1"/>
  <c r="A577" s="1"/>
  <c r="A578" s="1"/>
  <c r="A579" s="1"/>
  <c r="A580" s="1"/>
  <c r="A581" s="1"/>
  <c r="A582" s="1"/>
  <c r="A583" s="1"/>
  <c r="A584" s="1"/>
  <c r="A585" s="1"/>
  <c r="A586" s="1"/>
  <c r="A587" s="1"/>
  <c r="A588" s="1"/>
  <c r="A589" s="1"/>
  <c r="A590" s="1"/>
  <c r="A591" s="1"/>
  <c r="A592" s="1"/>
  <c r="A593" s="1"/>
  <c r="A594" s="1"/>
  <c r="A595" s="1"/>
  <c r="A596" s="1"/>
  <c r="A597" s="1"/>
  <c r="A598" s="1"/>
  <c r="A599" s="1"/>
  <c r="A600" s="1"/>
  <c r="A601" s="1"/>
  <c r="A602" s="1"/>
  <c r="A603" s="1"/>
  <c r="A604" s="1"/>
  <c r="A605" s="1"/>
  <c r="A606" s="1"/>
  <c r="A607" s="1"/>
  <c r="A608" s="1"/>
  <c r="A609" s="1"/>
  <c r="A610" s="1"/>
  <c r="A611" s="1"/>
  <c r="A612" s="1"/>
  <c r="A613" s="1"/>
  <c r="A614" s="1"/>
  <c r="A615" s="1"/>
  <c r="A616" s="1"/>
  <c r="A617" s="1"/>
  <c r="A618" s="1"/>
  <c r="A619" s="1"/>
  <c r="A620" s="1"/>
  <c r="A621" s="1"/>
  <c r="A622" s="1"/>
  <c r="A623" s="1"/>
  <c r="A624" s="1"/>
  <c r="A625" s="1"/>
  <c r="A626" s="1"/>
  <c r="A627" s="1"/>
  <c r="A628" s="1"/>
  <c r="A629" s="1"/>
  <c r="A630" s="1"/>
  <c r="N77" i="3" l="1"/>
  <c r="N81"/>
  <c r="N85"/>
  <c r="N89"/>
  <c r="N93"/>
  <c r="N97"/>
  <c r="N101"/>
  <c r="N74"/>
  <c r="N78"/>
  <c r="N82"/>
  <c r="N86"/>
  <c r="N90"/>
  <c r="N94"/>
  <c r="N98"/>
  <c r="N102"/>
  <c r="N75"/>
  <c r="N79"/>
  <c r="N83"/>
  <c r="N87"/>
  <c r="N91"/>
  <c r="N95"/>
  <c r="N99"/>
  <c r="N76"/>
  <c r="N80"/>
  <c r="N84"/>
  <c r="N88"/>
  <c r="N92"/>
  <c r="N96"/>
  <c r="N100"/>
  <c r="N72"/>
  <c r="R72" s="1"/>
  <c r="N73"/>
  <c r="J189"/>
  <c r="D189"/>
  <c r="J122"/>
  <c r="K122"/>
  <c r="N160"/>
  <c r="N162"/>
  <c r="N164"/>
  <c r="N169"/>
  <c r="N161"/>
  <c r="N163"/>
  <c r="N165"/>
  <c r="N166"/>
  <c r="N167"/>
  <c r="N168"/>
  <c r="Z9" i="7"/>
  <c r="L141" i="3"/>
  <c r="J75"/>
  <c r="L75" s="1"/>
  <c r="L142"/>
  <c r="N139"/>
  <c r="N142"/>
  <c r="N144"/>
  <c r="N146"/>
  <c r="N147"/>
  <c r="N148"/>
  <c r="N149"/>
  <c r="N151"/>
  <c r="N154"/>
  <c r="N157"/>
  <c r="N140"/>
  <c r="N141"/>
  <c r="N143"/>
  <c r="N145"/>
  <c r="N150"/>
  <c r="N152"/>
  <c r="N153"/>
  <c r="N155"/>
  <c r="N156"/>
  <c r="N158"/>
  <c r="N159"/>
  <c r="T189"/>
  <c r="R189"/>
  <c r="P189"/>
  <c r="N189"/>
  <c r="L189"/>
  <c r="F189"/>
  <c r="B189"/>
  <c r="B189" i="10" s="1"/>
  <c r="A190" i="3"/>
  <c r="Q189"/>
  <c r="O189"/>
  <c r="M189"/>
  <c r="I189"/>
  <c r="G189"/>
  <c r="E189"/>
  <c r="C189"/>
  <c r="P140"/>
  <c r="Q140" s="1"/>
  <c r="F141" s="1"/>
  <c r="L74"/>
  <c r="K11" i="1"/>
  <c r="K13"/>
  <c r="F73" i="3"/>
  <c r="T122"/>
  <c r="P122"/>
  <c r="L122"/>
  <c r="H122"/>
  <c r="F122"/>
  <c r="D122"/>
  <c r="B122"/>
  <c r="B122" i="10" s="1"/>
  <c r="A123" i="3"/>
  <c r="O122"/>
  <c r="M122"/>
  <c r="I122"/>
  <c r="G122"/>
  <c r="E122"/>
  <c r="C122"/>
  <c r="T10" i="7"/>
  <c r="U10" s="1"/>
  <c r="S11"/>
  <c r="W9"/>
  <c r="X9" s="1"/>
  <c r="B6" i="10"/>
  <c r="K12" i="1"/>
  <c r="N5" i="3"/>
  <c r="N6"/>
  <c r="B29" i="7"/>
  <c r="K29" i="1" s="1"/>
  <c r="D190" i="3" l="1"/>
  <c r="J190"/>
  <c r="K123"/>
  <c r="J123"/>
  <c r="Z10" i="7"/>
  <c r="J76" i="3"/>
  <c r="L76" s="1"/>
  <c r="L143"/>
  <c r="P141"/>
  <c r="Q141" s="1"/>
  <c r="T190"/>
  <c r="R190"/>
  <c r="P190"/>
  <c r="N190"/>
  <c r="L190"/>
  <c r="F190"/>
  <c r="B190"/>
  <c r="B190" i="10" s="1"/>
  <c r="A191" i="3"/>
  <c r="Q190"/>
  <c r="O190"/>
  <c r="M190"/>
  <c r="I190"/>
  <c r="G190"/>
  <c r="E190"/>
  <c r="C190"/>
  <c r="R140"/>
  <c r="R139"/>
  <c r="T123"/>
  <c r="P123"/>
  <c r="L123"/>
  <c r="H123"/>
  <c r="F123"/>
  <c r="D123"/>
  <c r="B123"/>
  <c r="B123" i="10" s="1"/>
  <c r="A124" i="3"/>
  <c r="O123"/>
  <c r="M123"/>
  <c r="I123"/>
  <c r="G123"/>
  <c r="E123"/>
  <c r="C123"/>
  <c r="P73"/>
  <c r="Q73" s="1"/>
  <c r="R73" s="1"/>
  <c r="W10" i="7"/>
  <c r="X10" s="1"/>
  <c r="T11"/>
  <c r="U11" s="1"/>
  <c r="S12"/>
  <c r="B31"/>
  <c r="B32" s="1"/>
  <c r="B33" s="1"/>
  <c r="C30"/>
  <c r="D191" i="3" l="1"/>
  <c r="J191"/>
  <c r="K124"/>
  <c r="J124"/>
  <c r="Z11" i="7"/>
  <c r="J77" i="3"/>
  <c r="L77" s="1"/>
  <c r="L144"/>
  <c r="R141"/>
  <c r="F142"/>
  <c r="T191"/>
  <c r="R191"/>
  <c r="P191"/>
  <c r="N191"/>
  <c r="L191"/>
  <c r="F191"/>
  <c r="B191"/>
  <c r="B191" i="10" s="1"/>
  <c r="A192" i="3"/>
  <c r="Q191"/>
  <c r="O191"/>
  <c r="M191"/>
  <c r="I191"/>
  <c r="G191"/>
  <c r="E191"/>
  <c r="C191"/>
  <c r="F74"/>
  <c r="T124"/>
  <c r="P124"/>
  <c r="L124"/>
  <c r="H124"/>
  <c r="F124"/>
  <c r="D124"/>
  <c r="B124"/>
  <c r="B124" i="10" s="1"/>
  <c r="A125" i="3"/>
  <c r="O124"/>
  <c r="M124"/>
  <c r="I124"/>
  <c r="G124"/>
  <c r="E124"/>
  <c r="C124"/>
  <c r="T12" i="7"/>
  <c r="U12" s="1"/>
  <c r="S13"/>
  <c r="W11"/>
  <c r="X11" s="1"/>
  <c r="C31"/>
  <c r="C32"/>
  <c r="B34"/>
  <c r="C33"/>
  <c r="D192" i="3" l="1"/>
  <c r="J192"/>
  <c r="J125"/>
  <c r="K125"/>
  <c r="Z12" i="7"/>
  <c r="L145" i="3"/>
  <c r="J78"/>
  <c r="L78" s="1"/>
  <c r="T192"/>
  <c r="R192"/>
  <c r="P192"/>
  <c r="N192"/>
  <c r="L192"/>
  <c r="F192"/>
  <c r="B192"/>
  <c r="B192" i="10" s="1"/>
  <c r="A193" i="3"/>
  <c r="Q192"/>
  <c r="O192"/>
  <c r="M192"/>
  <c r="I192"/>
  <c r="G192"/>
  <c r="E192"/>
  <c r="C192"/>
  <c r="P142"/>
  <c r="T125"/>
  <c r="P125"/>
  <c r="L125"/>
  <c r="H125"/>
  <c r="F125"/>
  <c r="D125"/>
  <c r="B125"/>
  <c r="B125" i="10" s="1"/>
  <c r="A126" i="3"/>
  <c r="O125"/>
  <c r="M125"/>
  <c r="I125"/>
  <c r="G125"/>
  <c r="E125"/>
  <c r="C125"/>
  <c r="P74"/>
  <c r="Q74" s="1"/>
  <c r="R74" s="1"/>
  <c r="T13" i="7"/>
  <c r="U13" s="1"/>
  <c r="S14"/>
  <c r="W12"/>
  <c r="X12" s="1"/>
  <c r="B35"/>
  <c r="C34"/>
  <c r="J193" i="3" l="1"/>
  <c r="D193"/>
  <c r="K126"/>
  <c r="J126"/>
  <c r="Z13" i="7"/>
  <c r="L146" i="3"/>
  <c r="J79"/>
  <c r="L79" s="1"/>
  <c r="T193"/>
  <c r="R193"/>
  <c r="P193"/>
  <c r="N193"/>
  <c r="L193"/>
  <c r="F193"/>
  <c r="B193"/>
  <c r="B193" i="10" s="1"/>
  <c r="A194" i="3"/>
  <c r="Q193"/>
  <c r="O193"/>
  <c r="M193"/>
  <c r="I193"/>
  <c r="G193"/>
  <c r="E193"/>
  <c r="C193"/>
  <c r="Q142"/>
  <c r="T126"/>
  <c r="P126"/>
  <c r="L126"/>
  <c r="H126"/>
  <c r="F126"/>
  <c r="D126"/>
  <c r="B126"/>
  <c r="B126" i="10" s="1"/>
  <c r="A127" i="3"/>
  <c r="O126"/>
  <c r="M126"/>
  <c r="I126"/>
  <c r="G126"/>
  <c r="E126"/>
  <c r="C126"/>
  <c r="F75"/>
  <c r="T14" i="7"/>
  <c r="U14" s="1"/>
  <c r="S15"/>
  <c r="W13"/>
  <c r="X13" s="1"/>
  <c r="B36"/>
  <c r="C35"/>
  <c r="D194" i="3" l="1"/>
  <c r="J194"/>
  <c r="K127"/>
  <c r="J127"/>
  <c r="Z14" i="7"/>
  <c r="J80" i="3"/>
  <c r="L80" s="1"/>
  <c r="L147"/>
  <c r="R142"/>
  <c r="F143"/>
  <c r="T194"/>
  <c r="R194"/>
  <c r="P194"/>
  <c r="N194"/>
  <c r="L194"/>
  <c r="F194"/>
  <c r="B194"/>
  <c r="B194" i="10" s="1"/>
  <c r="A195" i="3"/>
  <c r="Q194"/>
  <c r="O194"/>
  <c r="M194"/>
  <c r="I194"/>
  <c r="G194"/>
  <c r="E194"/>
  <c r="C194"/>
  <c r="P75"/>
  <c r="Q75" s="1"/>
  <c r="R75" s="1"/>
  <c r="T127"/>
  <c r="P127"/>
  <c r="L127"/>
  <c r="H127"/>
  <c r="F127"/>
  <c r="D127"/>
  <c r="B127"/>
  <c r="B127" i="10" s="1"/>
  <c r="A128" i="3"/>
  <c r="O127"/>
  <c r="M127"/>
  <c r="I127"/>
  <c r="G127"/>
  <c r="E127"/>
  <c r="C127"/>
  <c r="T15" i="7"/>
  <c r="U15" s="1"/>
  <c r="S16"/>
  <c r="W14"/>
  <c r="X14" s="1"/>
  <c r="B37"/>
  <c r="C36"/>
  <c r="R128" i="3" l="1"/>
  <c r="Q128"/>
  <c r="N128"/>
  <c r="S128"/>
  <c r="D195"/>
  <c r="J195"/>
  <c r="K128"/>
  <c r="J128"/>
  <c r="Z15" i="7"/>
  <c r="J81" i="3"/>
  <c r="L81" s="1"/>
  <c r="L148"/>
  <c r="T195"/>
  <c r="R195"/>
  <c r="P195"/>
  <c r="N195"/>
  <c r="L195"/>
  <c r="F195"/>
  <c r="B195"/>
  <c r="B195" i="10" s="1"/>
  <c r="A196" i="3"/>
  <c r="Q195"/>
  <c r="O195"/>
  <c r="M195"/>
  <c r="I195"/>
  <c r="G195"/>
  <c r="E195"/>
  <c r="C195"/>
  <c r="P143"/>
  <c r="Q143" s="1"/>
  <c r="F76"/>
  <c r="T128"/>
  <c r="P128"/>
  <c r="L128"/>
  <c r="H128"/>
  <c r="F128"/>
  <c r="D128"/>
  <c r="B128"/>
  <c r="B128" i="10" s="1"/>
  <c r="A129" i="3"/>
  <c r="O128"/>
  <c r="M128"/>
  <c r="I128"/>
  <c r="G128"/>
  <c r="E128"/>
  <c r="C128"/>
  <c r="T16" i="7"/>
  <c r="U16" s="1"/>
  <c r="S17"/>
  <c r="W15"/>
  <c r="X15" s="1"/>
  <c r="B38"/>
  <c r="C37"/>
  <c r="R129" i="3" l="1"/>
  <c r="Q129"/>
  <c r="N129"/>
  <c r="S129"/>
  <c r="D196"/>
  <c r="J196"/>
  <c r="J129"/>
  <c r="K129"/>
  <c r="Z16" i="7"/>
  <c r="L149" i="3"/>
  <c r="J82"/>
  <c r="R143"/>
  <c r="T196"/>
  <c r="R196"/>
  <c r="P196"/>
  <c r="N196"/>
  <c r="L196"/>
  <c r="F196"/>
  <c r="B196"/>
  <c r="B196" i="10" s="1"/>
  <c r="A197" i="3"/>
  <c r="Q196"/>
  <c r="O196"/>
  <c r="M196"/>
  <c r="I196"/>
  <c r="G196"/>
  <c r="E196"/>
  <c r="C196"/>
  <c r="F144"/>
  <c r="T129"/>
  <c r="P129"/>
  <c r="L129"/>
  <c r="H129"/>
  <c r="F129"/>
  <c r="D129"/>
  <c r="B129"/>
  <c r="B129" i="10" s="1"/>
  <c r="A130" i="3"/>
  <c r="O129"/>
  <c r="M129"/>
  <c r="I129"/>
  <c r="G129"/>
  <c r="E129"/>
  <c r="C129"/>
  <c r="P76"/>
  <c r="Q76" s="1"/>
  <c r="R76" s="1"/>
  <c r="T17" i="7"/>
  <c r="U17" s="1"/>
  <c r="S18"/>
  <c r="W16"/>
  <c r="X16" s="1"/>
  <c r="B39"/>
  <c r="C38"/>
  <c r="R130" i="3" l="1"/>
  <c r="Q130"/>
  <c r="N130"/>
  <c r="S130"/>
  <c r="J197"/>
  <c r="D197"/>
  <c r="K130"/>
  <c r="J130"/>
  <c r="L82"/>
  <c r="Z17" i="7"/>
  <c r="J83" i="3"/>
  <c r="L83" s="1"/>
  <c r="L150"/>
  <c r="T197"/>
  <c r="R197"/>
  <c r="P197"/>
  <c r="N197"/>
  <c r="L197"/>
  <c r="F197"/>
  <c r="B197"/>
  <c r="B197" i="10" s="1"/>
  <c r="A198" i="3"/>
  <c r="Q197"/>
  <c r="O197"/>
  <c r="M197"/>
  <c r="I197"/>
  <c r="G197"/>
  <c r="E197"/>
  <c r="C197"/>
  <c r="P144"/>
  <c r="Q144" s="1"/>
  <c r="F77"/>
  <c r="T130"/>
  <c r="P130"/>
  <c r="L130"/>
  <c r="H130"/>
  <c r="F130"/>
  <c r="D130"/>
  <c r="B130"/>
  <c r="B130" i="10" s="1"/>
  <c r="A131" i="3"/>
  <c r="O130"/>
  <c r="M130"/>
  <c r="I130"/>
  <c r="G130"/>
  <c r="E130"/>
  <c r="C130"/>
  <c r="T18" i="7"/>
  <c r="U18" s="1"/>
  <c r="S19"/>
  <c r="W17"/>
  <c r="X17" s="1"/>
  <c r="B40"/>
  <c r="C39"/>
  <c r="R131" i="3" l="1"/>
  <c r="Q131"/>
  <c r="N131"/>
  <c r="S131"/>
  <c r="D198"/>
  <c r="J198"/>
  <c r="K131"/>
  <c r="J131"/>
  <c r="Z18" i="7"/>
  <c r="J84" i="3"/>
  <c r="L151"/>
  <c r="R144"/>
  <c r="T198"/>
  <c r="R198"/>
  <c r="P198"/>
  <c r="N198"/>
  <c r="L198"/>
  <c r="F198"/>
  <c r="B198"/>
  <c r="B198" i="10" s="1"/>
  <c r="A199" i="3"/>
  <c r="Q198"/>
  <c r="O198"/>
  <c r="M198"/>
  <c r="I198"/>
  <c r="G198"/>
  <c r="E198"/>
  <c r="C198"/>
  <c r="F145"/>
  <c r="T131"/>
  <c r="P131"/>
  <c r="L131"/>
  <c r="H131"/>
  <c r="F131"/>
  <c r="D131"/>
  <c r="B131"/>
  <c r="B131" i="10" s="1"/>
  <c r="A132" i="3"/>
  <c r="O131"/>
  <c r="M131"/>
  <c r="I131"/>
  <c r="G131"/>
  <c r="E131"/>
  <c r="C131"/>
  <c r="P77"/>
  <c r="Q77" s="1"/>
  <c r="R77" s="1"/>
  <c r="T19" i="7"/>
  <c r="U19" s="1"/>
  <c r="S20"/>
  <c r="W18"/>
  <c r="X18" s="1"/>
  <c r="B41"/>
  <c r="C40"/>
  <c r="L84" i="3" l="1"/>
  <c r="R132"/>
  <c r="Q132"/>
  <c r="N132"/>
  <c r="S132"/>
  <c r="D199"/>
  <c r="J199"/>
  <c r="K132"/>
  <c r="J132"/>
  <c r="Z19" i="7"/>
  <c r="J85" i="3"/>
  <c r="L85" s="1"/>
  <c r="L152"/>
  <c r="P145"/>
  <c r="Q145" s="1"/>
  <c r="F146" s="1"/>
  <c r="T199"/>
  <c r="R199"/>
  <c r="P199"/>
  <c r="N199"/>
  <c r="N200" s="1"/>
  <c r="L199"/>
  <c r="F199"/>
  <c r="B199"/>
  <c r="B199" i="10" s="1"/>
  <c r="Q199" i="3"/>
  <c r="O199"/>
  <c r="M199"/>
  <c r="I199"/>
  <c r="G199"/>
  <c r="E199"/>
  <c r="C199"/>
  <c r="F78"/>
  <c r="W19" i="7"/>
  <c r="X19" s="1"/>
  <c r="T132" i="3"/>
  <c r="P132"/>
  <c r="N133"/>
  <c r="L132"/>
  <c r="H132"/>
  <c r="F132"/>
  <c r="D132"/>
  <c r="B132"/>
  <c r="B132" i="10" s="1"/>
  <c r="O132" i="3"/>
  <c r="M132"/>
  <c r="I132"/>
  <c r="G132"/>
  <c r="E132"/>
  <c r="C132"/>
  <c r="T20" i="7"/>
  <c r="U20" s="1"/>
  <c r="S21"/>
  <c r="B42"/>
  <c r="C41"/>
  <c r="D31" s="1"/>
  <c r="S5" i="3" l="1"/>
  <c r="S139"/>
  <c r="S72"/>
  <c r="Z20" i="7"/>
  <c r="G6" i="3"/>
  <c r="G140"/>
  <c r="G73"/>
  <c r="L153"/>
  <c r="J86"/>
  <c r="L86" s="1"/>
  <c r="P146"/>
  <c r="Q146" s="1"/>
  <c r="F147" s="1"/>
  <c r="R145"/>
  <c r="W20" i="7"/>
  <c r="X20" s="1"/>
  <c r="P78" i="3"/>
  <c r="T21" i="7"/>
  <c r="U21" s="1"/>
  <c r="S22"/>
  <c r="K18" i="1"/>
  <c r="B43" i="7"/>
  <c r="C42"/>
  <c r="Q78" i="3" l="1"/>
  <c r="T72"/>
  <c r="D73"/>
  <c r="I73" s="1"/>
  <c r="D140"/>
  <c r="I140" s="1"/>
  <c r="T139"/>
  <c r="Z21" i="7"/>
  <c r="L154" i="3"/>
  <c r="J87"/>
  <c r="P147"/>
  <c r="Q147" s="1"/>
  <c r="R146"/>
  <c r="W21" i="7"/>
  <c r="X21" s="1"/>
  <c r="T22"/>
  <c r="U22" s="1"/>
  <c r="S23"/>
  <c r="B44"/>
  <c r="C43"/>
  <c r="L87" i="3" l="1"/>
  <c r="F79"/>
  <c r="P79" s="1"/>
  <c r="Q79" s="1"/>
  <c r="R78"/>
  <c r="M140"/>
  <c r="M73"/>
  <c r="Z22" i="7"/>
  <c r="J88" i="3"/>
  <c r="L88" s="1"/>
  <c r="L155"/>
  <c r="R147"/>
  <c r="F148"/>
  <c r="W22" i="7"/>
  <c r="X22" s="1"/>
  <c r="T23"/>
  <c r="U23" s="1"/>
  <c r="S24"/>
  <c r="B45"/>
  <c r="C44"/>
  <c r="F80" i="3" l="1"/>
  <c r="P80" s="1"/>
  <c r="Q80" s="1"/>
  <c r="R79"/>
  <c r="Z23" i="7"/>
  <c r="J89" i="3"/>
  <c r="L89" s="1"/>
  <c r="L156"/>
  <c r="P148"/>
  <c r="Q148" s="1"/>
  <c r="F149" s="1"/>
  <c r="W23" i="7"/>
  <c r="X23" s="1"/>
  <c r="T24"/>
  <c r="U24" s="1"/>
  <c r="S25"/>
  <c r="B46"/>
  <c r="C45"/>
  <c r="F81" i="3" l="1"/>
  <c r="P81" s="1"/>
  <c r="R80"/>
  <c r="Q81"/>
  <c r="Z24" i="7"/>
  <c r="L157" i="3"/>
  <c r="J90"/>
  <c r="L90" s="1"/>
  <c r="P149"/>
  <c r="Q149" s="1"/>
  <c r="R148"/>
  <c r="W24" i="7"/>
  <c r="X24" s="1"/>
  <c r="T25"/>
  <c r="U25" s="1"/>
  <c r="S26"/>
  <c r="B47"/>
  <c r="C46"/>
  <c r="F82" i="3" l="1"/>
  <c r="R81"/>
  <c r="P82"/>
  <c r="Q82" s="1"/>
  <c r="R82" s="1"/>
  <c r="Z25" i="7"/>
  <c r="L158" i="3"/>
  <c r="J91"/>
  <c r="L91" s="1"/>
  <c r="R149"/>
  <c r="F150"/>
  <c r="W25" i="7"/>
  <c r="X25" s="1"/>
  <c r="T26"/>
  <c r="U26" s="1"/>
  <c r="S27"/>
  <c r="B48"/>
  <c r="C47"/>
  <c r="F83" i="3" l="1"/>
  <c r="W26" i="7"/>
  <c r="X26" s="1"/>
  <c r="Z26"/>
  <c r="J92" i="3"/>
  <c r="L159"/>
  <c r="P150"/>
  <c r="Q150" s="1"/>
  <c r="F151" s="1"/>
  <c r="T27" i="7"/>
  <c r="U27" s="1"/>
  <c r="S28"/>
  <c r="B49"/>
  <c r="C48"/>
  <c r="L92" i="3" l="1"/>
  <c r="A48" i="14"/>
  <c r="V20" i="9"/>
  <c r="P83" i="3"/>
  <c r="Q83" s="1"/>
  <c r="R83" s="1"/>
  <c r="W27" i="7"/>
  <c r="X27" s="1"/>
  <c r="J93" i="3"/>
  <c r="L93" s="1"/>
  <c r="Z27" i="7"/>
  <c r="P151" i="3"/>
  <c r="Q151" s="1"/>
  <c r="R150"/>
  <c r="T28" i="7"/>
  <c r="U28" s="1"/>
  <c r="S29"/>
  <c r="B50"/>
  <c r="C49"/>
  <c r="F84" i="3" l="1"/>
  <c r="W28" i="7"/>
  <c r="X28" s="1"/>
  <c r="Z28"/>
  <c r="J94" i="3"/>
  <c r="L94" s="1"/>
  <c r="R151"/>
  <c r="F152"/>
  <c r="T29" i="7"/>
  <c r="U29" s="1"/>
  <c r="S30"/>
  <c r="B51"/>
  <c r="C50"/>
  <c r="P84" i="3" l="1"/>
  <c r="Q84" s="1"/>
  <c r="R84" s="1"/>
  <c r="W29" i="7"/>
  <c r="X29" s="1"/>
  <c r="Z29"/>
  <c r="J95" i="3"/>
  <c r="L95" s="1"/>
  <c r="P152"/>
  <c r="Q152" s="1"/>
  <c r="F153" s="1"/>
  <c r="T30" i="7"/>
  <c r="U30" s="1"/>
  <c r="S31"/>
  <c r="B52"/>
  <c r="C51"/>
  <c r="F85" i="3" l="1"/>
  <c r="W30" i="7"/>
  <c r="X30" s="1"/>
  <c r="Z30"/>
  <c r="J96" i="3"/>
  <c r="L96" s="1"/>
  <c r="P153"/>
  <c r="Q153" s="1"/>
  <c r="R152"/>
  <c r="T31" i="7"/>
  <c r="U31" s="1"/>
  <c r="S32"/>
  <c r="B53"/>
  <c r="C52"/>
  <c r="P85" i="3" l="1"/>
  <c r="Q85" s="1"/>
  <c r="R85" s="1"/>
  <c r="W31" i="7"/>
  <c r="X31" s="1"/>
  <c r="J97" i="3"/>
  <c r="L97" s="1"/>
  <c r="Z31" i="7"/>
  <c r="R153" i="3"/>
  <c r="F154"/>
  <c r="T32" i="7"/>
  <c r="U32" s="1"/>
  <c r="S33"/>
  <c r="B54"/>
  <c r="C53"/>
  <c r="D32" s="1"/>
  <c r="F86" i="3" l="1"/>
  <c r="S6"/>
  <c r="S140"/>
  <c r="S73"/>
  <c r="W32" i="7"/>
  <c r="X32" s="1"/>
  <c r="Z32"/>
  <c r="J98" i="3"/>
  <c r="L98" s="1"/>
  <c r="G141"/>
  <c r="G74"/>
  <c r="P154"/>
  <c r="Q154" s="1"/>
  <c r="T33" i="7"/>
  <c r="U33" s="1"/>
  <c r="S34"/>
  <c r="C54"/>
  <c r="B55"/>
  <c r="P86" i="3" l="1"/>
  <c r="Q86" s="1"/>
  <c r="R86" s="1"/>
  <c r="T140"/>
  <c r="D141"/>
  <c r="I141" s="1"/>
  <c r="T73"/>
  <c r="D74"/>
  <c r="I74" s="1"/>
  <c r="W33" i="7"/>
  <c r="X33" s="1"/>
  <c r="Z33"/>
  <c r="J99" i="3"/>
  <c r="L99" s="1"/>
  <c r="R154"/>
  <c r="F155"/>
  <c r="T34" i="7"/>
  <c r="U34" s="1"/>
  <c r="S35"/>
  <c r="B56"/>
  <c r="C55"/>
  <c r="F87" i="3" l="1"/>
  <c r="M74"/>
  <c r="M141"/>
  <c r="W34" i="7"/>
  <c r="X34" s="1"/>
  <c r="Z34"/>
  <c r="J100" i="3"/>
  <c r="L100" s="1"/>
  <c r="P155"/>
  <c r="Q155" s="1"/>
  <c r="F156" s="1"/>
  <c r="T35" i="7"/>
  <c r="U35" s="1"/>
  <c r="S36"/>
  <c r="T36" s="1"/>
  <c r="U36" s="1"/>
  <c r="W36" s="1"/>
  <c r="B57"/>
  <c r="C56"/>
  <c r="P87" i="3" l="1"/>
  <c r="Q87" s="1"/>
  <c r="J101"/>
  <c r="L101" s="1"/>
  <c r="Z35" i="7"/>
  <c r="W35"/>
  <c r="X35" s="1"/>
  <c r="X36" s="1"/>
  <c r="P156" i="3"/>
  <c r="Q156" s="1"/>
  <c r="R155"/>
  <c r="B58" i="7"/>
  <c r="C57"/>
  <c r="R87" i="3" l="1"/>
  <c r="F88"/>
  <c r="Z36" i="7"/>
  <c r="J102" i="3"/>
  <c r="L102" s="1"/>
  <c r="R156"/>
  <c r="F157"/>
  <c r="B59" i="7"/>
  <c r="C58"/>
  <c r="P88" i="3" l="1"/>
  <c r="Q88" s="1"/>
  <c r="P157"/>
  <c r="Q157" s="1"/>
  <c r="B60" i="7"/>
  <c r="C59"/>
  <c r="R88" i="3" l="1"/>
  <c r="F89"/>
  <c r="P89" s="1"/>
  <c r="R157"/>
  <c r="F158"/>
  <c r="B61" i="7"/>
  <c r="C60"/>
  <c r="G4" i="3"/>
  <c r="S4"/>
  <c r="R4"/>
  <c r="O5"/>
  <c r="Q89" l="1"/>
  <c r="R89" s="1"/>
  <c r="P158"/>
  <c r="Q158" s="1"/>
  <c r="B62" i="7"/>
  <c r="C61"/>
  <c r="F90" i="3" l="1"/>
  <c r="R158"/>
  <c r="F159"/>
  <c r="S36" i="9" s="1"/>
  <c r="B63" i="7"/>
  <c r="C62"/>
  <c r="F5" i="3"/>
  <c r="E5"/>
  <c r="E6" s="1"/>
  <c r="F4"/>
  <c r="E4"/>
  <c r="D4"/>
  <c r="F3"/>
  <c r="N22" i="7"/>
  <c r="N21"/>
  <c r="N20"/>
  <c r="N19"/>
  <c r="N18"/>
  <c r="N17"/>
  <c r="N16"/>
  <c r="N15"/>
  <c r="N14"/>
  <c r="N13"/>
  <c r="N12"/>
  <c r="N11"/>
  <c r="N10"/>
  <c r="N9"/>
  <c r="N8"/>
  <c r="N7"/>
  <c r="N6"/>
  <c r="N5"/>
  <c r="N4"/>
  <c r="L5" s="1"/>
  <c r="B26" i="5"/>
  <c r="B44"/>
  <c r="B37"/>
  <c r="B25"/>
  <c r="P90" i="3" l="1"/>
  <c r="P159"/>
  <c r="I5"/>
  <c r="M5"/>
  <c r="P5"/>
  <c r="B64" i="7"/>
  <c r="C63"/>
  <c r="L6"/>
  <c r="L7" s="1"/>
  <c r="L8" s="1"/>
  <c r="L9" s="1"/>
  <c r="L10" s="1"/>
  <c r="L11" s="1"/>
  <c r="L12" s="1"/>
  <c r="L13" s="1"/>
  <c r="L14" s="1"/>
  <c r="L15" s="1"/>
  <c r="L16" s="1"/>
  <c r="L17" s="1"/>
  <c r="L18" s="1"/>
  <c r="L19" s="1"/>
  <c r="L20" s="1"/>
  <c r="L21" s="1"/>
  <c r="L22" s="1"/>
  <c r="I142" i="5"/>
  <c r="G142"/>
  <c r="F142"/>
  <c r="J22"/>
  <c r="M4" i="3" l="1"/>
  <c r="Q90"/>
  <c r="R90" s="1"/>
  <c r="Q159"/>
  <c r="Q5"/>
  <c r="B65" i="7"/>
  <c r="C64"/>
  <c r="F91" i="3" l="1"/>
  <c r="R159"/>
  <c r="F160"/>
  <c r="R5"/>
  <c r="D6" s="1"/>
  <c r="F6"/>
  <c r="K15" i="1"/>
  <c r="K16" s="1"/>
  <c r="B66" i="7"/>
  <c r="C65"/>
  <c r="D33" s="1"/>
  <c r="G153" i="5"/>
  <c r="I153"/>
  <c r="P91" i="3" l="1"/>
  <c r="Q91" s="1"/>
  <c r="R91" s="1"/>
  <c r="S141"/>
  <c r="S74"/>
  <c r="P160"/>
  <c r="Q160" s="1"/>
  <c r="F161" s="1"/>
  <c r="G75"/>
  <c r="G142"/>
  <c r="K17" i="1"/>
  <c r="T5" i="3"/>
  <c r="P6"/>
  <c r="Q6" s="1"/>
  <c r="R6" s="1"/>
  <c r="T6" s="1"/>
  <c r="I6"/>
  <c r="K21" i="1"/>
  <c r="M6" i="3"/>
  <c r="C66" i="7"/>
  <c r="B67"/>
  <c r="F92" i="3" l="1"/>
  <c r="T141"/>
  <c r="D142"/>
  <c r="I142" s="1"/>
  <c r="T74"/>
  <c r="D75"/>
  <c r="R160"/>
  <c r="P161"/>
  <c r="B68" i="7"/>
  <c r="C67"/>
  <c r="P92" i="3" l="1"/>
  <c r="Q92" s="1"/>
  <c r="M142"/>
  <c r="M75"/>
  <c r="I75"/>
  <c r="Q161"/>
  <c r="B69" i="7"/>
  <c r="C68"/>
  <c r="C6" i="3"/>
  <c r="R92" l="1"/>
  <c r="F93"/>
  <c r="P93" s="1"/>
  <c r="Q93" s="1"/>
  <c r="R93" s="1"/>
  <c r="R161"/>
  <c r="F162"/>
  <c r="B70" i="7"/>
  <c r="C69"/>
  <c r="A7" i="3"/>
  <c r="F94" l="1"/>
  <c r="P162"/>
  <c r="Q162" s="1"/>
  <c r="AC6" i="7"/>
  <c r="Q7"/>
  <c r="B7" i="3"/>
  <c r="H7"/>
  <c r="J7"/>
  <c r="S7"/>
  <c r="D7"/>
  <c r="O7"/>
  <c r="N7"/>
  <c r="A8"/>
  <c r="G7"/>
  <c r="E7"/>
  <c r="E8" s="1"/>
  <c r="C7"/>
  <c r="B71" i="7"/>
  <c r="C70"/>
  <c r="A9" i="3"/>
  <c r="P94" l="1"/>
  <c r="Q94" s="1"/>
  <c r="R94" s="1"/>
  <c r="R162"/>
  <c r="F163"/>
  <c r="AC8" i="7"/>
  <c r="Q9"/>
  <c r="H9" i="3"/>
  <c r="B9"/>
  <c r="J9"/>
  <c r="AC7" i="7"/>
  <c r="B8" i="3"/>
  <c r="H8"/>
  <c r="Q8" i="7"/>
  <c r="J8" i="3"/>
  <c r="B7" i="10"/>
  <c r="N9" i="3"/>
  <c r="N8"/>
  <c r="O8"/>
  <c r="O9"/>
  <c r="G8"/>
  <c r="C8"/>
  <c r="E9"/>
  <c r="B72" i="7"/>
  <c r="C71"/>
  <c r="A10" i="3"/>
  <c r="F95" l="1"/>
  <c r="P163"/>
  <c r="Q163" s="1"/>
  <c r="AC9" i="7"/>
  <c r="Q10"/>
  <c r="J10" i="3"/>
  <c r="B10"/>
  <c r="H10"/>
  <c r="B9" i="10"/>
  <c r="B8"/>
  <c r="N10" i="3"/>
  <c r="O10"/>
  <c r="F7"/>
  <c r="I7" s="1"/>
  <c r="C9"/>
  <c r="E10"/>
  <c r="B73" i="7"/>
  <c r="C72"/>
  <c r="A11" i="3"/>
  <c r="P95" l="1"/>
  <c r="Q95" s="1"/>
  <c r="R95" s="1"/>
  <c r="R163"/>
  <c r="F164"/>
  <c r="P7"/>
  <c r="Q7" s="1"/>
  <c r="AC10" i="7"/>
  <c r="Q11"/>
  <c r="J11" i="3"/>
  <c r="H11"/>
  <c r="B11"/>
  <c r="B10" i="10"/>
  <c r="N11" i="3"/>
  <c r="O11"/>
  <c r="M7"/>
  <c r="C10"/>
  <c r="E11"/>
  <c r="B74" i="7"/>
  <c r="C73"/>
  <c r="A12" i="3"/>
  <c r="F96" l="1"/>
  <c r="P164"/>
  <c r="Q164" s="1"/>
  <c r="R7"/>
  <c r="D8" s="1"/>
  <c r="AC11" i="7"/>
  <c r="Q12"/>
  <c r="J12" i="3"/>
  <c r="B12"/>
  <c r="H12"/>
  <c r="B11" i="10"/>
  <c r="F8" i="3"/>
  <c r="C11"/>
  <c r="N12"/>
  <c r="O12"/>
  <c r="P8"/>
  <c r="E12"/>
  <c r="B75" i="7"/>
  <c r="C74"/>
  <c r="A13" i="3"/>
  <c r="P96" l="1"/>
  <c r="Q96" s="1"/>
  <c r="R96" s="1"/>
  <c r="R164"/>
  <c r="F165"/>
  <c r="T7"/>
  <c r="AC12" i="7"/>
  <c r="Q13"/>
  <c r="J13" i="3"/>
  <c r="B13"/>
  <c r="H13"/>
  <c r="I8"/>
  <c r="B12" i="10"/>
  <c r="M8" i="3"/>
  <c r="C12"/>
  <c r="N13"/>
  <c r="Q8"/>
  <c r="O13"/>
  <c r="E13"/>
  <c r="B76" i="7"/>
  <c r="C75"/>
  <c r="A14" i="3"/>
  <c r="F97" l="1"/>
  <c r="P165"/>
  <c r="Q165" s="1"/>
  <c r="F166" s="1"/>
  <c r="AC13" i="7"/>
  <c r="Q14"/>
  <c r="J14" i="3"/>
  <c r="B14"/>
  <c r="H14"/>
  <c r="B13" i="10"/>
  <c r="R8" i="3"/>
  <c r="C13"/>
  <c r="C14" s="1"/>
  <c r="N14"/>
  <c r="F9"/>
  <c r="O14"/>
  <c r="E14"/>
  <c r="B77" i="7"/>
  <c r="C76"/>
  <c r="A15" i="3"/>
  <c r="P97" l="1"/>
  <c r="Q97" s="1"/>
  <c r="R165"/>
  <c r="P166"/>
  <c r="Q166" s="1"/>
  <c r="AC14" i="7"/>
  <c r="Q15"/>
  <c r="J15" i="3"/>
  <c r="H15"/>
  <c r="B15"/>
  <c r="P9"/>
  <c r="Q9" s="1"/>
  <c r="R9" s="1"/>
  <c r="B14" i="10"/>
  <c r="N15" i="3"/>
  <c r="O15"/>
  <c r="C15"/>
  <c r="E15"/>
  <c r="B78" i="7"/>
  <c r="C77"/>
  <c r="D34" s="1"/>
  <c r="A16" i="3"/>
  <c r="R97" l="1"/>
  <c r="F98"/>
  <c r="P98" s="1"/>
  <c r="Q98" s="1"/>
  <c r="R98" s="1"/>
  <c r="S8"/>
  <c r="D9" s="1"/>
  <c r="S142"/>
  <c r="S75"/>
  <c r="R166"/>
  <c r="F167"/>
  <c r="G9"/>
  <c r="G76"/>
  <c r="G143"/>
  <c r="AC15" i="7"/>
  <c r="Q16"/>
  <c r="J16" i="3"/>
  <c r="B16"/>
  <c r="H16"/>
  <c r="F10"/>
  <c r="P10" s="1"/>
  <c r="Q10" s="1"/>
  <c r="R10" s="1"/>
  <c r="B15" i="10"/>
  <c r="N16" i="3"/>
  <c r="O16"/>
  <c r="E16"/>
  <c r="C16"/>
  <c r="C78" i="7"/>
  <c r="B79"/>
  <c r="A17" i="3"/>
  <c r="Q17" i="7" s="1"/>
  <c r="F99" i="3" l="1"/>
  <c r="T75"/>
  <c r="D76"/>
  <c r="I76" s="1"/>
  <c r="T142"/>
  <c r="D143"/>
  <c r="P167"/>
  <c r="Q167" s="1"/>
  <c r="AC16" i="7"/>
  <c r="J17" i="3"/>
  <c r="B17"/>
  <c r="H17"/>
  <c r="F11"/>
  <c r="P11" s="1"/>
  <c r="Q11" s="1"/>
  <c r="R11" s="1"/>
  <c r="B16" i="10"/>
  <c r="T8" i="3"/>
  <c r="N17"/>
  <c r="O17"/>
  <c r="C17"/>
  <c r="E17"/>
  <c r="B80" i="7"/>
  <c r="C79"/>
  <c r="A18" i="3"/>
  <c r="Q18" i="7" s="1"/>
  <c r="P99" i="3" l="1"/>
  <c r="Q99" s="1"/>
  <c r="R99" s="1"/>
  <c r="M76"/>
  <c r="M143"/>
  <c r="I143"/>
  <c r="F168"/>
  <c r="R167"/>
  <c r="AC17" i="7"/>
  <c r="J18" i="3"/>
  <c r="B18"/>
  <c r="H18"/>
  <c r="M9"/>
  <c r="I9"/>
  <c r="B17" i="10"/>
  <c r="N18" i="3"/>
  <c r="F12"/>
  <c r="P12" s="1"/>
  <c r="O18"/>
  <c r="C18"/>
  <c r="E18"/>
  <c r="B81" i="7"/>
  <c r="C80"/>
  <c r="A19" i="3"/>
  <c r="Q19" i="7" s="1"/>
  <c r="F100" i="3" l="1"/>
  <c r="P168"/>
  <c r="Q168" s="1"/>
  <c r="AC18" i="7"/>
  <c r="J19" i="3"/>
  <c r="H19"/>
  <c r="B19"/>
  <c r="B18" i="10"/>
  <c r="N19" i="3"/>
  <c r="Q12"/>
  <c r="R12" s="1"/>
  <c r="O19"/>
  <c r="C19"/>
  <c r="E19"/>
  <c r="B82" i="7"/>
  <c r="C81"/>
  <c r="A20" i="3"/>
  <c r="Q20" i="7" s="1"/>
  <c r="P100" i="3" l="1"/>
  <c r="R168"/>
  <c r="F169"/>
  <c r="AC19" i="7"/>
  <c r="J20" i="3"/>
  <c r="B20"/>
  <c r="H20"/>
  <c r="B19" i="10"/>
  <c r="N20" i="3"/>
  <c r="F13"/>
  <c r="O20"/>
  <c r="E20"/>
  <c r="C20"/>
  <c r="B83" i="7"/>
  <c r="C82"/>
  <c r="A21" i="3"/>
  <c r="Q21" i="7" s="1"/>
  <c r="Q100" i="3" l="1"/>
  <c r="R100" s="1"/>
  <c r="P169"/>
  <c r="P200" s="1"/>
  <c r="AC20" i="7"/>
  <c r="J21" i="3"/>
  <c r="B21"/>
  <c r="H21"/>
  <c r="B20" i="10"/>
  <c r="N21" i="3"/>
  <c r="P13"/>
  <c r="Q13" s="1"/>
  <c r="R13" s="1"/>
  <c r="O21"/>
  <c r="E21"/>
  <c r="C21"/>
  <c r="B84" i="7"/>
  <c r="C83"/>
  <c r="A22" i="3"/>
  <c r="Q22" i="7" s="1"/>
  <c r="F101" i="3" l="1"/>
  <c r="Q169"/>
  <c r="R169" s="1"/>
  <c r="R200" s="1"/>
  <c r="AC21" i="7"/>
  <c r="J22" i="3"/>
  <c r="B22"/>
  <c r="H22"/>
  <c r="B21" i="10"/>
  <c r="N22" i="3"/>
  <c r="F14"/>
  <c r="O22"/>
  <c r="E22"/>
  <c r="C22"/>
  <c r="B85" i="7"/>
  <c r="C84"/>
  <c r="A23" i="3"/>
  <c r="Q23" i="7" s="1"/>
  <c r="P101" i="3" l="1"/>
  <c r="Q101" s="1"/>
  <c r="R101" s="1"/>
  <c r="Q200"/>
  <c r="AC22" i="7"/>
  <c r="J23" i="3"/>
  <c r="H23"/>
  <c r="B23"/>
  <c r="B22" i="10"/>
  <c r="N23" i="3"/>
  <c r="P14"/>
  <c r="Q14" s="1"/>
  <c r="R14" s="1"/>
  <c r="O23"/>
  <c r="E23"/>
  <c r="C23"/>
  <c r="B86" i="7"/>
  <c r="C85"/>
  <c r="A24" i="3"/>
  <c r="Q24" i="7" s="1"/>
  <c r="F102" i="3" l="1"/>
  <c r="AC23" i="7"/>
  <c r="J24" i="3"/>
  <c r="B24"/>
  <c r="H24"/>
  <c r="B23" i="10"/>
  <c r="N24" i="3"/>
  <c r="F15"/>
  <c r="O24"/>
  <c r="C24"/>
  <c r="E24"/>
  <c r="B87" i="7"/>
  <c r="C86"/>
  <c r="A25" i="3"/>
  <c r="Q25" i="7" s="1"/>
  <c r="P102" i="3" l="1"/>
  <c r="P133" s="1"/>
  <c r="AC24" i="7"/>
  <c r="J25" i="3"/>
  <c r="B25"/>
  <c r="H25"/>
  <c r="B24" i="10"/>
  <c r="N25" i="3"/>
  <c r="P15"/>
  <c r="Q15" s="1"/>
  <c r="R15" s="1"/>
  <c r="O25"/>
  <c r="C25"/>
  <c r="E25"/>
  <c r="B88" i="7"/>
  <c r="C87"/>
  <c r="A26" i="3"/>
  <c r="Q102" l="1"/>
  <c r="R102" s="1"/>
  <c r="R133" s="1"/>
  <c r="Q26" i="7"/>
  <c r="AC25"/>
  <c r="J26" i="3"/>
  <c r="B26"/>
  <c r="H26"/>
  <c r="B25" i="10"/>
  <c r="N26" i="3"/>
  <c r="F16"/>
  <c r="P16" s="1"/>
  <c r="Q16" s="1"/>
  <c r="R16" s="1"/>
  <c r="O26"/>
  <c r="C26"/>
  <c r="E26"/>
  <c r="B89" i="7"/>
  <c r="C88"/>
  <c r="A27" i="3"/>
  <c r="Q27" i="7" s="1"/>
  <c r="Q133" i="3" l="1"/>
  <c r="AC26" i="7"/>
  <c r="J27" i="3"/>
  <c r="H27"/>
  <c r="B27"/>
  <c r="B26" i="10"/>
  <c r="N27" i="3"/>
  <c r="F17"/>
  <c r="P17" s="1"/>
  <c r="Q17" s="1"/>
  <c r="R17" s="1"/>
  <c r="O27"/>
  <c r="C27"/>
  <c r="E27"/>
  <c r="B90" i="7"/>
  <c r="C89"/>
  <c r="D35" s="1"/>
  <c r="A28" i="3"/>
  <c r="Q28" i="7" s="1"/>
  <c r="S9" i="3" l="1"/>
  <c r="D10" s="1"/>
  <c r="S143"/>
  <c r="S76"/>
  <c r="G10"/>
  <c r="G144"/>
  <c r="G77"/>
  <c r="AC27" i="7"/>
  <c r="J28" i="3"/>
  <c r="B28"/>
  <c r="H28"/>
  <c r="B27" i="10"/>
  <c r="N28" i="3"/>
  <c r="F18"/>
  <c r="O28"/>
  <c r="C28"/>
  <c r="E28"/>
  <c r="C90" i="7"/>
  <c r="B91"/>
  <c r="A29" i="3"/>
  <c r="Q29" i="7" s="1"/>
  <c r="T76" i="3" l="1"/>
  <c r="D77"/>
  <c r="I77" s="1"/>
  <c r="T143"/>
  <c r="D144"/>
  <c r="AC28" i="7"/>
  <c r="J29" i="3"/>
  <c r="B29"/>
  <c r="H29"/>
  <c r="B28" i="10"/>
  <c r="P18" i="3"/>
  <c r="Q18" s="1"/>
  <c r="R18" s="1"/>
  <c r="T9"/>
  <c r="I10"/>
  <c r="N29"/>
  <c r="O29"/>
  <c r="E29"/>
  <c r="C29"/>
  <c r="B92" i="7"/>
  <c r="C91"/>
  <c r="A30" i="3"/>
  <c r="Q30" i="7" s="1"/>
  <c r="M144" i="3" l="1"/>
  <c r="M77"/>
  <c r="I144"/>
  <c r="AC29" i="7"/>
  <c r="J30" i="3"/>
  <c r="B30"/>
  <c r="H30"/>
  <c r="D36" i="9"/>
  <c r="M10" i="3"/>
  <c r="B29" i="10"/>
  <c r="F19" i="3"/>
  <c r="P19" s="1"/>
  <c r="Q19" s="1"/>
  <c r="R19" s="1"/>
  <c r="N30"/>
  <c r="O30"/>
  <c r="C30"/>
  <c r="E30"/>
  <c r="B93" i="7"/>
  <c r="C92"/>
  <c r="A31" i="3"/>
  <c r="Q31" i="7" s="1"/>
  <c r="AC30" l="1"/>
  <c r="J31" i="3"/>
  <c r="H31"/>
  <c r="B31"/>
  <c r="B30" i="10"/>
  <c r="F20" i="3"/>
  <c r="P11" i="5"/>
  <c r="N31" i="3"/>
  <c r="P52" i="5"/>
  <c r="L52" s="1"/>
  <c r="P50"/>
  <c r="P47"/>
  <c r="N47" s="1"/>
  <c r="P44"/>
  <c r="P42"/>
  <c r="L42" s="1"/>
  <c r="P38"/>
  <c r="P37"/>
  <c r="P35"/>
  <c r="P28"/>
  <c r="P26"/>
  <c r="P25"/>
  <c r="P24"/>
  <c r="P18"/>
  <c r="P16"/>
  <c r="L16" s="1"/>
  <c r="P13"/>
  <c r="O31" i="3"/>
  <c r="C31"/>
  <c r="E31"/>
  <c r="B94" i="7"/>
  <c r="C93"/>
  <c r="A32" i="3"/>
  <c r="Q32" i="7" s="1"/>
  <c r="AC31" l="1"/>
  <c r="J32" i="3"/>
  <c r="B32"/>
  <c r="H32"/>
  <c r="P20"/>
  <c r="Q20" s="1"/>
  <c r="R20" s="1"/>
  <c r="B31" i="10"/>
  <c r="D38" i="9"/>
  <c r="W35" i="5"/>
  <c r="N32" i="3"/>
  <c r="N25" i="5"/>
  <c r="O32" i="3"/>
  <c r="N43" i="5"/>
  <c r="V16"/>
  <c r="C32" i="3"/>
  <c r="E32"/>
  <c r="B95" i="7"/>
  <c r="C94"/>
  <c r="U50" i="5"/>
  <c r="U16"/>
  <c r="L47"/>
  <c r="U38"/>
  <c r="L13"/>
  <c r="L26"/>
  <c r="L37"/>
  <c r="U25"/>
  <c r="U18"/>
  <c r="V18" s="1"/>
  <c r="W18" s="1"/>
  <c r="X18" s="1"/>
  <c r="Y18" s="1"/>
  <c r="Z18" s="1"/>
  <c r="AA18" s="1"/>
  <c r="AB18" s="1"/>
  <c r="AC18" s="1"/>
  <c r="N35"/>
  <c r="D40" i="9" s="1"/>
  <c r="F40" s="1"/>
  <c r="N32" i="5"/>
  <c r="L11"/>
  <c r="L24"/>
  <c r="L28"/>
  <c r="L44"/>
  <c r="U35"/>
  <c r="N20"/>
  <c r="N22"/>
  <c r="A33" i="3"/>
  <c r="Q33" i="7" s="1"/>
  <c r="F21" i="3" l="1"/>
  <c r="P21" s="1"/>
  <c r="AC32" i="7"/>
  <c r="J33" i="3"/>
  <c r="B33"/>
  <c r="H33"/>
  <c r="W50" i="5"/>
  <c r="L50" s="1"/>
  <c r="B32" i="10"/>
  <c r="W38" i="5"/>
  <c r="L38" s="1"/>
  <c r="N33" i="3"/>
  <c r="L25" i="5"/>
  <c r="O33" i="3"/>
  <c r="L35" i="5"/>
  <c r="C33" i="3"/>
  <c r="E33"/>
  <c r="B96" i="7"/>
  <c r="C95"/>
  <c r="AD18" i="5"/>
  <c r="AE18" s="1"/>
  <c r="AF18" s="1"/>
  <c r="AG18" s="1"/>
  <c r="AH18" s="1"/>
  <c r="AI18" s="1"/>
  <c r="AJ18" s="1"/>
  <c r="AK18" s="1"/>
  <c r="AL18" s="1"/>
  <c r="AM18" s="1"/>
  <c r="AN18" s="1"/>
  <c r="AO18" s="1"/>
  <c r="AP18" s="1"/>
  <c r="A34" i="3"/>
  <c r="Q34" i="7" s="1"/>
  <c r="Q21" i="3" l="1"/>
  <c r="R21" s="1"/>
  <c r="AC33" i="7"/>
  <c r="J34" i="3"/>
  <c r="B34"/>
  <c r="H34"/>
  <c r="B33" i="10"/>
  <c r="N34" i="3"/>
  <c r="O34"/>
  <c r="C34"/>
  <c r="E34"/>
  <c r="B97" i="7"/>
  <c r="C96"/>
  <c r="L18" i="5"/>
  <c r="D39" i="9" s="1"/>
  <c r="A35" i="3"/>
  <c r="A67" i="14" l="1"/>
  <c r="A14"/>
  <c r="A44"/>
  <c r="F22" i="3"/>
  <c r="P22" s="1"/>
  <c r="Q22" s="1"/>
  <c r="R22" s="1"/>
  <c r="Q35" i="7"/>
  <c r="AC34"/>
  <c r="J35" i="3"/>
  <c r="H35"/>
  <c r="B35"/>
  <c r="B34" i="10"/>
  <c r="F39" i="9"/>
  <c r="D53"/>
  <c r="D56"/>
  <c r="D57" s="1"/>
  <c r="D41"/>
  <c r="D42" s="1"/>
  <c r="N35" i="3"/>
  <c r="O35"/>
  <c r="C35"/>
  <c r="E35"/>
  <c r="B98" i="7"/>
  <c r="C97"/>
  <c r="A36" i="3"/>
  <c r="F23" l="1"/>
  <c r="D36"/>
  <c r="Q36" i="7"/>
  <c r="S36" i="3"/>
  <c r="AC35" i="7"/>
  <c r="J36" i="3"/>
  <c r="A18" i="14"/>
  <c r="K36" i="3"/>
  <c r="I36"/>
  <c r="L36"/>
  <c r="B36"/>
  <c r="H36"/>
  <c r="B35" i="10"/>
  <c r="F41" i="9"/>
  <c r="D43"/>
  <c r="F43" s="1"/>
  <c r="D54"/>
  <c r="D59" s="1"/>
  <c r="N36" i="3"/>
  <c r="O36"/>
  <c r="P23"/>
  <c r="C36"/>
  <c r="E36"/>
  <c r="B99" i="7"/>
  <c r="C98"/>
  <c r="A37" i="3"/>
  <c r="D37" s="1"/>
  <c r="S20" i="9" l="1"/>
  <c r="S37" i="3"/>
  <c r="AC36" i="7"/>
  <c r="J37" i="3"/>
  <c r="B37"/>
  <c r="K37"/>
  <c r="H37"/>
  <c r="I37"/>
  <c r="L37"/>
  <c r="B36" i="10"/>
  <c r="D44" i="9"/>
  <c r="F44" s="1"/>
  <c r="F42"/>
  <c r="N37" i="3"/>
  <c r="Q23"/>
  <c r="R23" s="1"/>
  <c r="O37"/>
  <c r="E37"/>
  <c r="C37"/>
  <c r="B100" i="7"/>
  <c r="C99"/>
  <c r="A38" i="3"/>
  <c r="D38" s="1"/>
  <c r="S38" l="1"/>
  <c r="AC37" i="7"/>
  <c r="J38" i="3"/>
  <c r="B38"/>
  <c r="H38"/>
  <c r="K38"/>
  <c r="I38"/>
  <c r="L38"/>
  <c r="B37" i="10"/>
  <c r="D45" i="9"/>
  <c r="F45" s="1"/>
  <c r="N38" i="3"/>
  <c r="F24"/>
  <c r="P24" s="1"/>
  <c r="O38"/>
  <c r="C38"/>
  <c r="E38"/>
  <c r="B101" i="7"/>
  <c r="C100"/>
  <c r="A39" i="3"/>
  <c r="D39" s="1"/>
  <c r="S39" l="1"/>
  <c r="AC38" i="7"/>
  <c r="J39" i="3"/>
  <c r="H39"/>
  <c r="I39"/>
  <c r="L39"/>
  <c r="B39"/>
  <c r="K39"/>
  <c r="B38" i="10"/>
  <c r="N39" i="3"/>
  <c r="Q24"/>
  <c r="R24" s="1"/>
  <c r="O39"/>
  <c r="C39"/>
  <c r="E39"/>
  <c r="B102" i="7"/>
  <c r="C101"/>
  <c r="D36" s="1"/>
  <c r="A40" i="3"/>
  <c r="D40" s="1"/>
  <c r="S10" l="1"/>
  <c r="D11" s="1"/>
  <c r="S144"/>
  <c r="S77"/>
  <c r="G11"/>
  <c r="G145"/>
  <c r="G78"/>
  <c r="S40"/>
  <c r="AC39" i="7"/>
  <c r="J40" i="3"/>
  <c r="K40"/>
  <c r="I40"/>
  <c r="L40"/>
  <c r="B40"/>
  <c r="H40"/>
  <c r="B39" i="10"/>
  <c r="N40" i="3"/>
  <c r="F25"/>
  <c r="O40"/>
  <c r="C40"/>
  <c r="E40"/>
  <c r="C102" i="7"/>
  <c r="B103"/>
  <c r="A41" i="3"/>
  <c r="D41" s="1"/>
  <c r="T77" l="1"/>
  <c r="D78"/>
  <c r="I78" s="1"/>
  <c r="T144"/>
  <c r="D145"/>
  <c r="S41"/>
  <c r="AC40" i="7"/>
  <c r="J41" i="3"/>
  <c r="B41"/>
  <c r="K41"/>
  <c r="H41"/>
  <c r="I41"/>
  <c r="L41"/>
  <c r="B40" i="10"/>
  <c r="T10" i="3"/>
  <c r="P25"/>
  <c r="Q25" s="1"/>
  <c r="R25" s="1"/>
  <c r="N41"/>
  <c r="O41"/>
  <c r="C41"/>
  <c r="E41"/>
  <c r="B104" i="7"/>
  <c r="C103"/>
  <c r="A42" i="3"/>
  <c r="D42" s="1"/>
  <c r="M145" l="1"/>
  <c r="M78"/>
  <c r="I145"/>
  <c r="S42"/>
  <c r="AC41" i="7"/>
  <c r="J42" i="3"/>
  <c r="B42"/>
  <c r="H42"/>
  <c r="K42"/>
  <c r="I42"/>
  <c r="L42"/>
  <c r="M11"/>
  <c r="I11"/>
  <c r="B41" i="10"/>
  <c r="F26" i="3"/>
  <c r="P26" s="1"/>
  <c r="Q26" s="1"/>
  <c r="R26" s="1"/>
  <c r="N42"/>
  <c r="O42"/>
  <c r="E42"/>
  <c r="C42"/>
  <c r="B105" i="7"/>
  <c r="C104"/>
  <c r="A43" i="3"/>
  <c r="D43" s="1"/>
  <c r="S43" l="1"/>
  <c r="AC42" i="7"/>
  <c r="J43" i="3"/>
  <c r="H43"/>
  <c r="I43"/>
  <c r="L43"/>
  <c r="B43"/>
  <c r="K43"/>
  <c r="B42" i="10"/>
  <c r="N43" i="3"/>
  <c r="O43"/>
  <c r="F27"/>
  <c r="C43"/>
  <c r="E43"/>
  <c r="B106" i="7"/>
  <c r="C105"/>
  <c r="A44" i="3"/>
  <c r="D44" s="1"/>
  <c r="S44" l="1"/>
  <c r="AC43" i="7"/>
  <c r="J44" i="3"/>
  <c r="K44"/>
  <c r="I44"/>
  <c r="L44"/>
  <c r="B44"/>
  <c r="H44"/>
  <c r="B43" i="10"/>
  <c r="N44" i="3"/>
  <c r="O44"/>
  <c r="P27"/>
  <c r="Q27" s="1"/>
  <c r="R27" s="1"/>
  <c r="C44"/>
  <c r="E44"/>
  <c r="B107" i="7"/>
  <c r="C106"/>
  <c r="A45" i="3"/>
  <c r="D45" s="1"/>
  <c r="S45" l="1"/>
  <c r="AC44" i="7"/>
  <c r="J45" i="3"/>
  <c r="B45"/>
  <c r="K45"/>
  <c r="H45"/>
  <c r="I45"/>
  <c r="L45"/>
  <c r="B44" i="10"/>
  <c r="N45" i="3"/>
  <c r="O45"/>
  <c r="F28"/>
  <c r="C45"/>
  <c r="E45"/>
  <c r="B108" i="7"/>
  <c r="C107"/>
  <c r="A46" i="3"/>
  <c r="D46" s="1"/>
  <c r="S46" l="1"/>
  <c r="AC45" i="7"/>
  <c r="J46" i="3"/>
  <c r="B46"/>
  <c r="H46"/>
  <c r="K46"/>
  <c r="I46"/>
  <c r="L46"/>
  <c r="B45" i="10"/>
  <c r="N46" i="3"/>
  <c r="O46"/>
  <c r="P28"/>
  <c r="Q28" s="1"/>
  <c r="R28" s="1"/>
  <c r="E46"/>
  <c r="C46"/>
  <c r="B109" i="7"/>
  <c r="C108"/>
  <c r="A47" i="3"/>
  <c r="D47" s="1"/>
  <c r="S47" l="1"/>
  <c r="AC46" i="7"/>
  <c r="J47" i="3"/>
  <c r="H47"/>
  <c r="I47"/>
  <c r="L47"/>
  <c r="B47"/>
  <c r="K47"/>
  <c r="B46" i="10"/>
  <c r="N47" i="3"/>
  <c r="O47"/>
  <c r="F29"/>
  <c r="E47"/>
  <c r="C47"/>
  <c r="B110" i="7"/>
  <c r="C109"/>
  <c r="A48" i="3"/>
  <c r="D48" s="1"/>
  <c r="S48" l="1"/>
  <c r="AC47" i="7"/>
  <c r="J48" i="3"/>
  <c r="K48"/>
  <c r="I48"/>
  <c r="L48"/>
  <c r="B48"/>
  <c r="H48"/>
  <c r="B47" i="10"/>
  <c r="N48" i="3"/>
  <c r="O48"/>
  <c r="P29"/>
  <c r="Q29" s="1"/>
  <c r="R29" s="1"/>
  <c r="C48"/>
  <c r="E48"/>
  <c r="B111" i="7"/>
  <c r="C110"/>
  <c r="A49" i="3"/>
  <c r="D49" s="1"/>
  <c r="S49" l="1"/>
  <c r="AC48" i="7"/>
  <c r="J49" i="3"/>
  <c r="B49"/>
  <c r="K49"/>
  <c r="H49"/>
  <c r="I49"/>
  <c r="L49"/>
  <c r="B48" i="10"/>
  <c r="N49" i="3"/>
  <c r="O49"/>
  <c r="F30"/>
  <c r="E49"/>
  <c r="C49"/>
  <c r="B112" i="7"/>
  <c r="C111"/>
  <c r="A50" i="3"/>
  <c r="D50" s="1"/>
  <c r="S50" l="1"/>
  <c r="AC49" i="7"/>
  <c r="J50" i="3"/>
  <c r="B50"/>
  <c r="H50"/>
  <c r="K50"/>
  <c r="I50"/>
  <c r="L50"/>
  <c r="B49" i="10"/>
  <c r="N50" i="3"/>
  <c r="O50"/>
  <c r="P30"/>
  <c r="Q30" s="1"/>
  <c r="R30" s="1"/>
  <c r="C50"/>
  <c r="E50"/>
  <c r="B113" i="7"/>
  <c r="C112"/>
  <c r="A51" i="3"/>
  <c r="D51" s="1"/>
  <c r="S51" l="1"/>
  <c r="AC50" i="7"/>
  <c r="J51" i="3"/>
  <c r="H51"/>
  <c r="I51"/>
  <c r="L51"/>
  <c r="B51"/>
  <c r="K51"/>
  <c r="B50" i="10"/>
  <c r="N51" i="3"/>
  <c r="O51"/>
  <c r="F31"/>
  <c r="C51"/>
  <c r="E51"/>
  <c r="B114" i="7"/>
  <c r="C113"/>
  <c r="D37" s="1"/>
  <c r="A52" i="3"/>
  <c r="D52" s="1"/>
  <c r="S11" l="1"/>
  <c r="D12" s="1"/>
  <c r="S145"/>
  <c r="S78"/>
  <c r="G12"/>
  <c r="G146"/>
  <c r="G79"/>
  <c r="S52"/>
  <c r="AC51" i="7"/>
  <c r="J52" i="3"/>
  <c r="K52"/>
  <c r="I52"/>
  <c r="L52"/>
  <c r="B52"/>
  <c r="H52"/>
  <c r="B51" i="10"/>
  <c r="N52" i="3"/>
  <c r="O52"/>
  <c r="P31"/>
  <c r="Q31" s="1"/>
  <c r="R31" s="1"/>
  <c r="C52"/>
  <c r="E52"/>
  <c r="C114" i="7"/>
  <c r="B115"/>
  <c r="A53" i="3"/>
  <c r="D53" s="1"/>
  <c r="T78" l="1"/>
  <c r="D79"/>
  <c r="I79" s="1"/>
  <c r="T145"/>
  <c r="D146"/>
  <c r="S53"/>
  <c r="AC52" i="7"/>
  <c r="J53" i="3"/>
  <c r="B53"/>
  <c r="K53"/>
  <c r="H53"/>
  <c r="I53"/>
  <c r="L53"/>
  <c r="B52" i="10"/>
  <c r="T11" i="3"/>
  <c r="N53"/>
  <c r="O53"/>
  <c r="F32"/>
  <c r="C53"/>
  <c r="E53"/>
  <c r="B116" i="7"/>
  <c r="C115"/>
  <c r="A54" i="3"/>
  <c r="D54" s="1"/>
  <c r="M79" l="1"/>
  <c r="M146"/>
  <c r="I146"/>
  <c r="S54"/>
  <c r="AC53" i="7"/>
  <c r="J54" i="3"/>
  <c r="B54"/>
  <c r="H54"/>
  <c r="K54"/>
  <c r="I54"/>
  <c r="L54"/>
  <c r="M12"/>
  <c r="I12"/>
  <c r="B53" i="10"/>
  <c r="N54" i="3"/>
  <c r="O54"/>
  <c r="P32"/>
  <c r="Q32" s="1"/>
  <c r="R32" s="1"/>
  <c r="C54"/>
  <c r="E54"/>
  <c r="B117" i="7"/>
  <c r="C116"/>
  <c r="A55" i="3"/>
  <c r="D55" s="1"/>
  <c r="S55" l="1"/>
  <c r="AC54" i="7"/>
  <c r="J55" i="3"/>
  <c r="H55"/>
  <c r="I55"/>
  <c r="L55"/>
  <c r="B55"/>
  <c r="K55"/>
  <c r="B54" i="10"/>
  <c r="N55" i="3"/>
  <c r="O55"/>
  <c r="F33"/>
  <c r="C55"/>
  <c r="E55"/>
  <c r="A56"/>
  <c r="D56" s="1"/>
  <c r="B118" i="7"/>
  <c r="C117"/>
  <c r="S56" i="3" l="1"/>
  <c r="AC55" i="7"/>
  <c r="J56" i="3"/>
  <c r="K56"/>
  <c r="I56"/>
  <c r="L56"/>
  <c r="B56"/>
  <c r="H56"/>
  <c r="B55" i="10"/>
  <c r="N56" i="3"/>
  <c r="O56"/>
  <c r="P33"/>
  <c r="Q33" s="1"/>
  <c r="R33" s="1"/>
  <c r="E56"/>
  <c r="C56"/>
  <c r="A57"/>
  <c r="D57" s="1"/>
  <c r="B119" i="7"/>
  <c r="C118"/>
  <c r="S57" i="3" l="1"/>
  <c r="AC56" i="7"/>
  <c r="J57" i="3"/>
  <c r="B57"/>
  <c r="K57"/>
  <c r="H57"/>
  <c r="I57"/>
  <c r="L57"/>
  <c r="B56" i="10"/>
  <c r="N57" i="3"/>
  <c r="O57"/>
  <c r="F34"/>
  <c r="C57"/>
  <c r="E57"/>
  <c r="A58"/>
  <c r="D58" s="1"/>
  <c r="B120" i="7"/>
  <c r="C119"/>
  <c r="S58" i="3" l="1"/>
  <c r="AC57" i="7"/>
  <c r="J58" i="3"/>
  <c r="B58"/>
  <c r="H58"/>
  <c r="K58"/>
  <c r="I58"/>
  <c r="L58"/>
  <c r="B57" i="10"/>
  <c r="N58" i="3"/>
  <c r="O58"/>
  <c r="P34"/>
  <c r="Q34" s="1"/>
  <c r="R34" s="1"/>
  <c r="C58"/>
  <c r="E58"/>
  <c r="A59"/>
  <c r="D59" s="1"/>
  <c r="B121" i="7"/>
  <c r="C120"/>
  <c r="S59" i="3" l="1"/>
  <c r="AC58" i="7"/>
  <c r="J59" i="3"/>
  <c r="H59"/>
  <c r="I59"/>
  <c r="L59"/>
  <c r="B59"/>
  <c r="K59"/>
  <c r="B58" i="10"/>
  <c r="N59" i="3"/>
  <c r="O59"/>
  <c r="F35"/>
  <c r="E59"/>
  <c r="C59"/>
  <c r="A60"/>
  <c r="D60" s="1"/>
  <c r="B122" i="7"/>
  <c r="C121"/>
  <c r="S60" i="3" l="1"/>
  <c r="AC59" i="7"/>
  <c r="J60" i="3"/>
  <c r="K60"/>
  <c r="I60"/>
  <c r="L60"/>
  <c r="B60"/>
  <c r="H60"/>
  <c r="J36" i="9"/>
  <c r="X36"/>
  <c r="B59" i="10"/>
  <c r="N60" i="3"/>
  <c r="O60"/>
  <c r="P35"/>
  <c r="Q35" s="1"/>
  <c r="R35" s="1"/>
  <c r="C60"/>
  <c r="E60"/>
  <c r="A61"/>
  <c r="D61" s="1"/>
  <c r="B123" i="7"/>
  <c r="C122"/>
  <c r="S61" i="3" l="1"/>
  <c r="AC60" i="7"/>
  <c r="J61" i="3"/>
  <c r="B61"/>
  <c r="K61"/>
  <c r="H61"/>
  <c r="I61"/>
  <c r="L61"/>
  <c r="B60" i="10"/>
  <c r="N61" i="3"/>
  <c r="O61"/>
  <c r="F36"/>
  <c r="C61"/>
  <c r="E61"/>
  <c r="A62"/>
  <c r="D62" s="1"/>
  <c r="B124" i="7"/>
  <c r="C123"/>
  <c r="S62" i="3" l="1"/>
  <c r="AC61" i="7"/>
  <c r="J62" i="3"/>
  <c r="B62"/>
  <c r="H62"/>
  <c r="K62"/>
  <c r="I62"/>
  <c r="L62"/>
  <c r="B61" i="10"/>
  <c r="N62" i="3"/>
  <c r="O62"/>
  <c r="P36"/>
  <c r="Q36" s="1"/>
  <c r="R36" s="1"/>
  <c r="C62"/>
  <c r="E62"/>
  <c r="A63"/>
  <c r="D63" s="1"/>
  <c r="B125" i="7"/>
  <c r="C124"/>
  <c r="S63" i="3" l="1"/>
  <c r="AC62" i="7"/>
  <c r="J63" i="3"/>
  <c r="H63"/>
  <c r="I63"/>
  <c r="L63"/>
  <c r="B63"/>
  <c r="K63"/>
  <c r="B62" i="10"/>
  <c r="N63" i="3"/>
  <c r="O63"/>
  <c r="F37"/>
  <c r="E63"/>
  <c r="C63"/>
  <c r="A64"/>
  <c r="D64" s="1"/>
  <c r="B126" i="7"/>
  <c r="C125"/>
  <c r="D38" s="1"/>
  <c r="S12" i="3" l="1"/>
  <c r="D13" s="1"/>
  <c r="S146"/>
  <c r="S79"/>
  <c r="G13"/>
  <c r="G147"/>
  <c r="G80"/>
  <c r="S64"/>
  <c r="AC63" i="7"/>
  <c r="J64" i="3"/>
  <c r="K64"/>
  <c r="I64"/>
  <c r="L64"/>
  <c r="B64"/>
  <c r="H64"/>
  <c r="B63" i="10"/>
  <c r="N64" i="3"/>
  <c r="O64"/>
  <c r="P37"/>
  <c r="Q37" s="1"/>
  <c r="R37" s="1"/>
  <c r="C64"/>
  <c r="E64"/>
  <c r="A65"/>
  <c r="D65" s="1"/>
  <c r="C126" i="7"/>
  <c r="B127"/>
  <c r="T79" i="3" l="1"/>
  <c r="D80"/>
  <c r="I80" s="1"/>
  <c r="T146"/>
  <c r="D147"/>
  <c r="S65"/>
  <c r="AC64" i="7"/>
  <c r="J65" i="3"/>
  <c r="B65"/>
  <c r="K65"/>
  <c r="H65"/>
  <c r="I65"/>
  <c r="L65"/>
  <c r="B64" i="10"/>
  <c r="T12" i="3"/>
  <c r="N65"/>
  <c r="N66" s="1"/>
  <c r="O65"/>
  <c r="F38"/>
  <c r="E65"/>
  <c r="C65"/>
  <c r="B128" i="7"/>
  <c r="C127"/>
  <c r="M147" i="3" l="1"/>
  <c r="I147"/>
  <c r="M80"/>
  <c r="M13"/>
  <c r="I13"/>
  <c r="B65" i="10"/>
  <c r="P38" i="3"/>
  <c r="Q38" s="1"/>
  <c r="R38" s="1"/>
  <c r="B129" i="7"/>
  <c r="C128"/>
  <c r="F39" i="3" l="1"/>
  <c r="B130" i="7"/>
  <c r="C129"/>
  <c r="P39" i="3" l="1"/>
  <c r="Q39" s="1"/>
  <c r="R39" s="1"/>
  <c r="B131" i="7"/>
  <c r="C130"/>
  <c r="F40" i="3" l="1"/>
  <c r="B132" i="7"/>
  <c r="C131"/>
  <c r="P40" i="3" l="1"/>
  <c r="Q40" s="1"/>
  <c r="R40" s="1"/>
  <c r="B133" i="7"/>
  <c r="C132"/>
  <c r="F41" i="3" l="1"/>
  <c r="B134" i="7"/>
  <c r="C133"/>
  <c r="P41" i="3" l="1"/>
  <c r="Q41" s="1"/>
  <c r="R41" s="1"/>
  <c r="B135" i="7"/>
  <c r="C134"/>
  <c r="F42" i="3" l="1"/>
  <c r="B136" i="7"/>
  <c r="C135"/>
  <c r="P42" i="3" l="1"/>
  <c r="Q42" s="1"/>
  <c r="R42" s="1"/>
  <c r="B137" i="7"/>
  <c r="C136"/>
  <c r="F43" i="3" l="1"/>
  <c r="B138" i="7"/>
  <c r="C137"/>
  <c r="D39" s="1"/>
  <c r="S13" i="3" l="1"/>
  <c r="D14" s="1"/>
  <c r="S147"/>
  <c r="S80"/>
  <c r="G14"/>
  <c r="G148"/>
  <c r="G81"/>
  <c r="P43"/>
  <c r="Q43" s="1"/>
  <c r="R43" s="1"/>
  <c r="C138" i="7"/>
  <c r="B139"/>
  <c r="T80" i="3" l="1"/>
  <c r="D81"/>
  <c r="I81" s="1"/>
  <c r="T147"/>
  <c r="D148"/>
  <c r="T13"/>
  <c r="F44"/>
  <c r="B140" i="7"/>
  <c r="C139"/>
  <c r="M148" i="3" l="1"/>
  <c r="I148"/>
  <c r="M81"/>
  <c r="M14"/>
  <c r="I14"/>
  <c r="P44"/>
  <c r="Q44" s="1"/>
  <c r="R44" s="1"/>
  <c r="B141" i="7"/>
  <c r="C140"/>
  <c r="F45" i="3" l="1"/>
  <c r="B142" i="7"/>
  <c r="C141"/>
  <c r="P45" i="3" l="1"/>
  <c r="Q45" s="1"/>
  <c r="R45" s="1"/>
  <c r="B143" i="7"/>
  <c r="C142"/>
  <c r="F46" i="3" l="1"/>
  <c r="B144" i="7"/>
  <c r="C143"/>
  <c r="P46" i="3" l="1"/>
  <c r="Q46" s="1"/>
  <c r="R46" s="1"/>
  <c r="B145" i="7"/>
  <c r="C144"/>
  <c r="F47" i="3" l="1"/>
  <c r="B146" i="7"/>
  <c r="C145"/>
  <c r="P47" i="3" l="1"/>
  <c r="Q47" s="1"/>
  <c r="R47" s="1"/>
  <c r="B147" i="7"/>
  <c r="C146"/>
  <c r="F48" i="3" l="1"/>
  <c r="B148" i="7"/>
  <c r="C147"/>
  <c r="P48" i="3" l="1"/>
  <c r="Q48" s="1"/>
  <c r="R48" s="1"/>
  <c r="B149" i="7"/>
  <c r="C148"/>
  <c r="F49" i="3" l="1"/>
  <c r="B150" i="7"/>
  <c r="C149"/>
  <c r="D40" s="1"/>
  <c r="S14" i="3" l="1"/>
  <c r="S148"/>
  <c r="S81"/>
  <c r="G15"/>
  <c r="G149"/>
  <c r="G82"/>
  <c r="D15"/>
  <c r="P49"/>
  <c r="Q49" s="1"/>
  <c r="R49" s="1"/>
  <c r="C150" i="7"/>
  <c r="B151"/>
  <c r="T148" i="3" l="1"/>
  <c r="D149"/>
  <c r="I149" s="1"/>
  <c r="T81"/>
  <c r="D82"/>
  <c r="I82" s="1"/>
  <c r="T14"/>
  <c r="F50"/>
  <c r="B152" i="7"/>
  <c r="C151"/>
  <c r="M82" i="3" l="1"/>
  <c r="M149"/>
  <c r="M15"/>
  <c r="I15"/>
  <c r="P50"/>
  <c r="Q50" s="1"/>
  <c r="R50" s="1"/>
  <c r="B153" i="7"/>
  <c r="C152"/>
  <c r="F51" i="3" l="1"/>
  <c r="B154" i="7"/>
  <c r="C153"/>
  <c r="P51" i="3" l="1"/>
  <c r="Q51" s="1"/>
  <c r="R51" s="1"/>
  <c r="B155" i="7"/>
  <c r="C154"/>
  <c r="F52" i="3" l="1"/>
  <c r="B156" i="7"/>
  <c r="C155"/>
  <c r="P52" i="3" l="1"/>
  <c r="Q52" s="1"/>
  <c r="R52" s="1"/>
  <c r="B157" i="7"/>
  <c r="C156"/>
  <c r="F53" i="3" l="1"/>
  <c r="B158" i="7"/>
  <c r="C157"/>
  <c r="P53" i="3" l="1"/>
  <c r="B159" i="7"/>
  <c r="C158"/>
  <c r="Q53" i="3" l="1"/>
  <c r="R53" s="1"/>
  <c r="B160" i="7"/>
  <c r="C159"/>
  <c r="F54" i="3" l="1"/>
  <c r="P54" s="1"/>
  <c r="Q54" s="1"/>
  <c r="R54" s="1"/>
  <c r="B161" i="7"/>
  <c r="C160"/>
  <c r="F55" i="3" l="1"/>
  <c r="B162" i="7"/>
  <c r="C161"/>
  <c r="D41" s="1"/>
  <c r="S15" i="3" l="1"/>
  <c r="S149"/>
  <c r="S82"/>
  <c r="G16"/>
  <c r="G83"/>
  <c r="G150"/>
  <c r="D16"/>
  <c r="P55"/>
  <c r="Q55" s="1"/>
  <c r="R55" s="1"/>
  <c r="C162" i="7"/>
  <c r="B163"/>
  <c r="T82" i="3" l="1"/>
  <c r="D83"/>
  <c r="I83" s="1"/>
  <c r="T149"/>
  <c r="D150"/>
  <c r="I150" s="1"/>
  <c r="T15"/>
  <c r="F56"/>
  <c r="B164" i="7"/>
  <c r="C163"/>
  <c r="M150" i="3" l="1"/>
  <c r="M83"/>
  <c r="M16"/>
  <c r="I16"/>
  <c r="P56"/>
  <c r="Q56" s="1"/>
  <c r="R56" s="1"/>
  <c r="B165" i="7"/>
  <c r="C164"/>
  <c r="F57" i="3" l="1"/>
  <c r="B166" i="7"/>
  <c r="C165"/>
  <c r="P57" i="3" l="1"/>
  <c r="Q57" s="1"/>
  <c r="R57" s="1"/>
  <c r="B167" i="7"/>
  <c r="C166"/>
  <c r="F58" i="3" l="1"/>
  <c r="B168" i="7"/>
  <c r="C167"/>
  <c r="P58" i="3" l="1"/>
  <c r="Q58" s="1"/>
  <c r="R58" s="1"/>
  <c r="B169" i="7"/>
  <c r="C168"/>
  <c r="F59" i="3" l="1"/>
  <c r="B170" i="7"/>
  <c r="C169"/>
  <c r="P59" i="3" l="1"/>
  <c r="Q59" s="1"/>
  <c r="R59" s="1"/>
  <c r="B171" i="7"/>
  <c r="C170"/>
  <c r="F60" i="3" l="1"/>
  <c r="B172" i="7"/>
  <c r="C171"/>
  <c r="P60" i="3" l="1"/>
  <c r="Q60" s="1"/>
  <c r="R60" s="1"/>
  <c r="B173" i="7"/>
  <c r="C172"/>
  <c r="F61" i="3" l="1"/>
  <c r="B174" i="7"/>
  <c r="C173"/>
  <c r="D42" s="1"/>
  <c r="S16" i="3" l="1"/>
  <c r="S150"/>
  <c r="S83"/>
  <c r="G17"/>
  <c r="G151"/>
  <c r="G84"/>
  <c r="D17"/>
  <c r="P61"/>
  <c r="Q61" s="1"/>
  <c r="R61" s="1"/>
  <c r="C174" i="7"/>
  <c r="B175"/>
  <c r="T83" i="3" l="1"/>
  <c r="D84"/>
  <c r="I84" s="1"/>
  <c r="T150"/>
  <c r="D151"/>
  <c r="T16"/>
  <c r="F62"/>
  <c r="B176" i="7"/>
  <c r="C175"/>
  <c r="M151" i="3" l="1"/>
  <c r="I151"/>
  <c r="M84"/>
  <c r="M17"/>
  <c r="I17"/>
  <c r="P62"/>
  <c r="Q62" s="1"/>
  <c r="R62" s="1"/>
  <c r="B177" i="7"/>
  <c r="C176"/>
  <c r="F63" i="3" l="1"/>
  <c r="B178" i="7"/>
  <c r="C177"/>
  <c r="P63" i="3" l="1"/>
  <c r="Q63" s="1"/>
  <c r="R63" s="1"/>
  <c r="B179" i="7"/>
  <c r="C178"/>
  <c r="F64" i="3" l="1"/>
  <c r="B180" i="7"/>
  <c r="C179"/>
  <c r="P64" i="3" l="1"/>
  <c r="Q64" s="1"/>
  <c r="R64" s="1"/>
  <c r="B181" i="7"/>
  <c r="C180"/>
  <c r="F65" i="3" l="1"/>
  <c r="B182" i="7"/>
  <c r="C181"/>
  <c r="P65" i="3" l="1"/>
  <c r="B183" i="7"/>
  <c r="C182"/>
  <c r="Q65" i="3" l="1"/>
  <c r="R65" s="1"/>
  <c r="R66" s="1"/>
  <c r="P66"/>
  <c r="T55"/>
  <c r="B184" i="7"/>
  <c r="C183"/>
  <c r="Q66" i="3" l="1"/>
  <c r="B185" i="7"/>
  <c r="C184"/>
  <c r="B186" l="1"/>
  <c r="C185"/>
  <c r="D43" s="1"/>
  <c r="S17" i="3" l="1"/>
  <c r="S151"/>
  <c r="S84"/>
  <c r="G18"/>
  <c r="G152"/>
  <c r="G85"/>
  <c r="D18"/>
  <c r="C186" i="7"/>
  <c r="B187"/>
  <c r="T84" i="3" l="1"/>
  <c r="D85"/>
  <c r="I85" s="1"/>
  <c r="T151"/>
  <c r="D152"/>
  <c r="T17"/>
  <c r="T56"/>
  <c r="B188" i="7"/>
  <c r="C187"/>
  <c r="M152" i="3" l="1"/>
  <c r="I152"/>
  <c r="M85"/>
  <c r="M18"/>
  <c r="I18"/>
  <c r="T57"/>
  <c r="B189" i="7"/>
  <c r="C188"/>
  <c r="B190" l="1"/>
  <c r="C189"/>
  <c r="B191" l="1"/>
  <c r="C190"/>
  <c r="B192" l="1"/>
  <c r="C191"/>
  <c r="T58" i="3" l="1"/>
  <c r="B193" i="7"/>
  <c r="C192"/>
  <c r="T59" i="3" l="1"/>
  <c r="B194" i="7"/>
  <c r="C193"/>
  <c r="B195" l="1"/>
  <c r="C194"/>
  <c r="B196" l="1"/>
  <c r="C195"/>
  <c r="B197" l="1"/>
  <c r="C196"/>
  <c r="T60" i="3" l="1"/>
  <c r="B198" i="7"/>
  <c r="C197"/>
  <c r="D44" s="1"/>
  <c r="S18" i="3" l="1"/>
  <c r="S152"/>
  <c r="S85"/>
  <c r="G19"/>
  <c r="G86"/>
  <c r="G153"/>
  <c r="D19"/>
  <c r="C198" i="7"/>
  <c r="B199"/>
  <c r="T85" i="3" l="1"/>
  <c r="D86"/>
  <c r="I86" s="1"/>
  <c r="T152"/>
  <c r="D153"/>
  <c r="I153" s="1"/>
  <c r="T18"/>
  <c r="T61"/>
  <c r="B200" i="7"/>
  <c r="C199"/>
  <c r="M153" i="3" l="1"/>
  <c r="M86"/>
  <c r="M19"/>
  <c r="I19"/>
  <c r="T62"/>
  <c r="B201" i="7"/>
  <c r="C200"/>
  <c r="B202" l="1"/>
  <c r="C201"/>
  <c r="B203" l="1"/>
  <c r="C202"/>
  <c r="T63" i="3" l="1"/>
  <c r="B204" i="7"/>
  <c r="C203"/>
  <c r="B205" l="1"/>
  <c r="C204"/>
  <c r="T64" i="3" l="1"/>
  <c r="B206" i="7"/>
  <c r="C205"/>
  <c r="B207" l="1"/>
  <c r="C206"/>
  <c r="B208" l="1"/>
  <c r="C207"/>
  <c r="T65" i="3" l="1"/>
  <c r="B209" i="7"/>
  <c r="C208"/>
  <c r="B210" l="1"/>
  <c r="C209"/>
  <c r="D45" s="1"/>
  <c r="S19" i="3" l="1"/>
  <c r="D20" s="1"/>
  <c r="S153"/>
  <c r="S86"/>
  <c r="G20"/>
  <c r="G154"/>
  <c r="G87"/>
  <c r="C210" i="7"/>
  <c r="B211"/>
  <c r="T86" i="3" l="1"/>
  <c r="D87"/>
  <c r="I87" s="1"/>
  <c r="T153"/>
  <c r="D154"/>
  <c r="T19"/>
  <c r="I20"/>
  <c r="B212" i="7"/>
  <c r="C211"/>
  <c r="M154" i="3" l="1"/>
  <c r="I154"/>
  <c r="M87"/>
  <c r="M20"/>
  <c r="B213" i="7"/>
  <c r="C212"/>
  <c r="B214" l="1"/>
  <c r="C213"/>
  <c r="B215" l="1"/>
  <c r="C214"/>
  <c r="B216" l="1"/>
  <c r="C215"/>
  <c r="B217" l="1"/>
  <c r="C216"/>
  <c r="B218" l="1"/>
  <c r="C217"/>
  <c r="B219" l="1"/>
  <c r="C218"/>
  <c r="B220" l="1"/>
  <c r="C219"/>
  <c r="B221" l="1"/>
  <c r="C220"/>
  <c r="B222" l="1"/>
  <c r="C221"/>
  <c r="D46" s="1"/>
  <c r="S20" i="3" l="1"/>
  <c r="D21" s="1"/>
  <c r="S154"/>
  <c r="S87"/>
  <c r="G21"/>
  <c r="G88"/>
  <c r="G155"/>
  <c r="C222" i="7"/>
  <c r="B223"/>
  <c r="T87" i="3" l="1"/>
  <c r="D88"/>
  <c r="T154"/>
  <c r="D155"/>
  <c r="I155" s="1"/>
  <c r="T20"/>
  <c r="I21"/>
  <c r="B224" i="7"/>
  <c r="C223"/>
  <c r="M88" i="3" l="1"/>
  <c r="I88"/>
  <c r="M155"/>
  <c r="M21"/>
  <c r="B225" i="7"/>
  <c r="C224"/>
  <c r="B226" l="1"/>
  <c r="C225"/>
  <c r="B227" l="1"/>
  <c r="C226"/>
  <c r="B228" l="1"/>
  <c r="C227"/>
  <c r="B229" l="1"/>
  <c r="C228"/>
  <c r="B230" l="1"/>
  <c r="C229"/>
  <c r="B231" l="1"/>
  <c r="C230"/>
  <c r="B232" l="1"/>
  <c r="C231"/>
  <c r="B233" l="1"/>
  <c r="C232"/>
  <c r="B234" l="1"/>
  <c r="C233"/>
  <c r="D47" s="1"/>
  <c r="S21" i="3" l="1"/>
  <c r="D22" s="1"/>
  <c r="S155"/>
  <c r="S88"/>
  <c r="G22"/>
  <c r="G89"/>
  <c r="G156"/>
  <c r="C234" i="7"/>
  <c r="B235"/>
  <c r="T88" i="3" l="1"/>
  <c r="D89"/>
  <c r="I89" s="1"/>
  <c r="T155"/>
  <c r="D156"/>
  <c r="I156" s="1"/>
  <c r="T21"/>
  <c r="I22"/>
  <c r="B236" i="7"/>
  <c r="C235"/>
  <c r="M156" i="3" l="1"/>
  <c r="M89"/>
  <c r="M22"/>
  <c r="B237" i="7"/>
  <c r="C236"/>
  <c r="B238" l="1"/>
  <c r="C237"/>
  <c r="B239" l="1"/>
  <c r="C238"/>
  <c r="B240" l="1"/>
  <c r="C239"/>
  <c r="B241" l="1"/>
  <c r="C240"/>
  <c r="B242" l="1"/>
  <c r="C241"/>
  <c r="B243" l="1"/>
  <c r="C242"/>
  <c r="B244" l="1"/>
  <c r="C243"/>
  <c r="B245" l="1"/>
  <c r="C244"/>
  <c r="B246" l="1"/>
  <c r="C245"/>
  <c r="D48" s="1"/>
  <c r="S22" i="3" l="1"/>
  <c r="D23" s="1"/>
  <c r="S156"/>
  <c r="S89"/>
  <c r="G23"/>
  <c r="G90"/>
  <c r="G157"/>
  <c r="C246" i="7"/>
  <c r="B247"/>
  <c r="T89" i="3" l="1"/>
  <c r="D90"/>
  <c r="I90" s="1"/>
  <c r="T156"/>
  <c r="D157"/>
  <c r="I157" s="1"/>
  <c r="T22"/>
  <c r="I23"/>
  <c r="B248" i="7"/>
  <c r="C247"/>
  <c r="M157" i="3" l="1"/>
  <c r="M90"/>
  <c r="M23"/>
  <c r="B249" i="7"/>
  <c r="C248"/>
  <c r="B250" l="1"/>
  <c r="C249"/>
  <c r="B251" l="1"/>
  <c r="C250"/>
  <c r="B252" l="1"/>
  <c r="C251"/>
  <c r="B253" l="1"/>
  <c r="C252"/>
  <c r="B254" l="1"/>
  <c r="C253"/>
  <c r="B255" l="1"/>
  <c r="C254"/>
  <c r="B256" l="1"/>
  <c r="C255"/>
  <c r="B257" l="1"/>
  <c r="C256"/>
  <c r="B258" l="1"/>
  <c r="C257"/>
  <c r="D49" s="1"/>
  <c r="S23" i="3" l="1"/>
  <c r="D24" s="1"/>
  <c r="S157"/>
  <c r="S90"/>
  <c r="G24"/>
  <c r="G158"/>
  <c r="G91"/>
  <c r="C258" i="7"/>
  <c r="B259"/>
  <c r="T90" i="3" l="1"/>
  <c r="D91"/>
  <c r="I91" s="1"/>
  <c r="T157"/>
  <c r="D158"/>
  <c r="T23"/>
  <c r="I24"/>
  <c r="B260" i="7"/>
  <c r="C259"/>
  <c r="M158" i="3" l="1"/>
  <c r="I158"/>
  <c r="M91"/>
  <c r="M24"/>
  <c r="B261" i="7"/>
  <c r="C260"/>
  <c r="B262" l="1"/>
  <c r="C261"/>
  <c r="B263" l="1"/>
  <c r="C262"/>
  <c r="B264" l="1"/>
  <c r="C263"/>
  <c r="B265" l="1"/>
  <c r="C264"/>
  <c r="B266" l="1"/>
  <c r="C265"/>
  <c r="B267" l="1"/>
  <c r="C266"/>
  <c r="B268" l="1"/>
  <c r="C267"/>
  <c r="B269" l="1"/>
  <c r="C268"/>
  <c r="B270" l="1"/>
  <c r="C269"/>
  <c r="D50" s="1"/>
  <c r="S24" i="3" l="1"/>
  <c r="D25" s="1"/>
  <c r="S158"/>
  <c r="S91"/>
  <c r="G25"/>
  <c r="G159"/>
  <c r="G92"/>
  <c r="C270" i="7"/>
  <c r="B271"/>
  <c r="T91" i="3" l="1"/>
  <c r="D92"/>
  <c r="T158"/>
  <c r="D159"/>
  <c r="T24"/>
  <c r="I25"/>
  <c r="B272" i="7"/>
  <c r="C271"/>
  <c r="F24" i="9" l="1"/>
  <c r="X35"/>
  <c r="X37" s="1"/>
  <c r="D24" i="14"/>
  <c r="J35" i="9"/>
  <c r="J37" s="1"/>
  <c r="M92" i="3"/>
  <c r="M159"/>
  <c r="I159"/>
  <c r="I92"/>
  <c r="M25"/>
  <c r="B273" i="7"/>
  <c r="C272"/>
  <c r="D48" i="14" l="1"/>
  <c r="D54"/>
  <c r="X18" i="9"/>
  <c r="Y20" s="1"/>
  <c r="V18"/>
  <c r="D71" i="14"/>
  <c r="D77"/>
  <c r="S18" i="9"/>
  <c r="S35"/>
  <c r="B274" i="7"/>
  <c r="C273"/>
  <c r="S37" i="9" l="1"/>
  <c r="T35"/>
  <c r="T20"/>
  <c r="T18"/>
  <c r="W22"/>
  <c r="W18"/>
  <c r="Y18"/>
  <c r="Y22"/>
  <c r="B275" i="7"/>
  <c r="C274"/>
  <c r="B276" l="1"/>
  <c r="C275"/>
  <c r="B277" l="1"/>
  <c r="C276"/>
  <c r="B278" l="1"/>
  <c r="C277"/>
  <c r="B279" l="1"/>
  <c r="C278"/>
  <c r="B280" l="1"/>
  <c r="C279"/>
  <c r="B281" l="1"/>
  <c r="C280"/>
  <c r="B282" l="1"/>
  <c r="C281"/>
  <c r="D51" s="1"/>
  <c r="S25" i="3" l="1"/>
  <c r="D26" s="1"/>
  <c r="S159"/>
  <c r="S92"/>
  <c r="G26"/>
  <c r="G160"/>
  <c r="G93"/>
  <c r="C282" i="7"/>
  <c r="B283"/>
  <c r="T92" i="3" l="1"/>
  <c r="D93"/>
  <c r="I93" s="1"/>
  <c r="T159"/>
  <c r="D160"/>
  <c r="T25"/>
  <c r="I26"/>
  <c r="B284" i="7"/>
  <c r="C283"/>
  <c r="M160" i="3" l="1"/>
  <c r="I160"/>
  <c r="M93"/>
  <c r="M26"/>
  <c r="B285" i="7"/>
  <c r="C284"/>
  <c r="B286" l="1"/>
  <c r="C285"/>
  <c r="B287" l="1"/>
  <c r="C286"/>
  <c r="B288" l="1"/>
  <c r="C287"/>
  <c r="B289" l="1"/>
  <c r="C288"/>
  <c r="B290" l="1"/>
  <c r="C289"/>
  <c r="B291" l="1"/>
  <c r="C290"/>
  <c r="B292" l="1"/>
  <c r="C291"/>
  <c r="B293" l="1"/>
  <c r="C292"/>
  <c r="B294" l="1"/>
  <c r="C293"/>
  <c r="D52" s="1"/>
  <c r="S26" i="3" l="1"/>
  <c r="D27" s="1"/>
  <c r="S160"/>
  <c r="S93"/>
  <c r="G27"/>
  <c r="G94"/>
  <c r="G161"/>
  <c r="C294" i="7"/>
  <c r="B295"/>
  <c r="T93" i="3" l="1"/>
  <c r="D94"/>
  <c r="I94" s="1"/>
  <c r="T160"/>
  <c r="D161"/>
  <c r="T26"/>
  <c r="I27"/>
  <c r="B296" i="7"/>
  <c r="C295"/>
  <c r="M161" i="3" l="1"/>
  <c r="I161"/>
  <c r="M94"/>
  <c r="M27"/>
  <c r="B297" i="7"/>
  <c r="C296"/>
  <c r="B298" l="1"/>
  <c r="C297"/>
  <c r="B299" l="1"/>
  <c r="C298"/>
  <c r="B300" l="1"/>
  <c r="C299"/>
  <c r="B301" l="1"/>
  <c r="C300"/>
  <c r="B302" l="1"/>
  <c r="C301"/>
  <c r="B303" l="1"/>
  <c r="C302"/>
  <c r="B304" l="1"/>
  <c r="C303"/>
  <c r="B305" l="1"/>
  <c r="C304"/>
  <c r="B306" l="1"/>
  <c r="C305"/>
  <c r="D53" s="1"/>
  <c r="S27" i="3" l="1"/>
  <c r="D28" s="1"/>
  <c r="S161"/>
  <c r="S94"/>
  <c r="G28"/>
  <c r="G95"/>
  <c r="G162"/>
  <c r="C306" i="7"/>
  <c r="B307"/>
  <c r="T94" i="3" l="1"/>
  <c r="D95"/>
  <c r="I95" s="1"/>
  <c r="T161"/>
  <c r="D162"/>
  <c r="T27"/>
  <c r="I28"/>
  <c r="B308" i="7"/>
  <c r="C307"/>
  <c r="M162" i="3" l="1"/>
  <c r="I162"/>
  <c r="M95"/>
  <c r="M28"/>
  <c r="B309" i="7"/>
  <c r="C308"/>
  <c r="B310" l="1"/>
  <c r="C309"/>
  <c r="B311" l="1"/>
  <c r="C310"/>
  <c r="B312" l="1"/>
  <c r="C311"/>
  <c r="B313" l="1"/>
  <c r="C312"/>
  <c r="B314" l="1"/>
  <c r="C313"/>
  <c r="B315" l="1"/>
  <c r="C314"/>
  <c r="B316" l="1"/>
  <c r="C315"/>
  <c r="B317" l="1"/>
  <c r="C316"/>
  <c r="B318" l="1"/>
  <c r="C317"/>
  <c r="D54" s="1"/>
  <c r="S28" i="3" l="1"/>
  <c r="S162"/>
  <c r="S95"/>
  <c r="G29"/>
  <c r="G96"/>
  <c r="G163"/>
  <c r="D29"/>
  <c r="C318" i="7"/>
  <c r="B319"/>
  <c r="T95" i="3" l="1"/>
  <c r="D96"/>
  <c r="T162"/>
  <c r="D163"/>
  <c r="I163" s="1"/>
  <c r="T28"/>
  <c r="I29"/>
  <c r="B320" i="7"/>
  <c r="C319"/>
  <c r="M96" i="3" l="1"/>
  <c r="M163"/>
  <c r="I96"/>
  <c r="M29"/>
  <c r="B321" i="7"/>
  <c r="C320"/>
  <c r="B322" l="1"/>
  <c r="C321"/>
  <c r="B323" l="1"/>
  <c r="C322"/>
  <c r="B324" l="1"/>
  <c r="C323"/>
  <c r="B325" l="1"/>
  <c r="C324"/>
  <c r="B326" l="1"/>
  <c r="C325"/>
  <c r="B327" l="1"/>
  <c r="C326"/>
  <c r="B328" l="1"/>
  <c r="C327"/>
  <c r="B329" l="1"/>
  <c r="C328"/>
  <c r="B330" l="1"/>
  <c r="C329"/>
  <c r="D55" s="1"/>
  <c r="S29" i="3" l="1"/>
  <c r="D30" s="1"/>
  <c r="S163"/>
  <c r="S96"/>
  <c r="G30"/>
  <c r="G97"/>
  <c r="G164"/>
  <c r="C330" i="7"/>
  <c r="B331"/>
  <c r="T96" i="3" l="1"/>
  <c r="D97"/>
  <c r="T163"/>
  <c r="D164"/>
  <c r="I164" s="1"/>
  <c r="T29"/>
  <c r="B332" i="7"/>
  <c r="C331"/>
  <c r="M97" i="3" l="1"/>
  <c r="M164"/>
  <c r="I97"/>
  <c r="M30"/>
  <c r="I30"/>
  <c r="B333" i="7"/>
  <c r="C332"/>
  <c r="B334" l="1"/>
  <c r="C333"/>
  <c r="B335" l="1"/>
  <c r="C334"/>
  <c r="B336" l="1"/>
  <c r="C335"/>
  <c r="B337" l="1"/>
  <c r="C336"/>
  <c r="B338" l="1"/>
  <c r="C337"/>
  <c r="B339" l="1"/>
  <c r="C338"/>
  <c r="B340" l="1"/>
  <c r="C339"/>
  <c r="B341" l="1"/>
  <c r="C340"/>
  <c r="B342" l="1"/>
  <c r="C341"/>
  <c r="D56" s="1"/>
  <c r="S30" i="3" l="1"/>
  <c r="S164"/>
  <c r="S97"/>
  <c r="G31"/>
  <c r="G98"/>
  <c r="G165"/>
  <c r="D31"/>
  <c r="C342" i="7"/>
  <c r="B343"/>
  <c r="T97" i="3" l="1"/>
  <c r="D98"/>
  <c r="I98" s="1"/>
  <c r="T164"/>
  <c r="D165"/>
  <c r="I165" s="1"/>
  <c r="T30"/>
  <c r="B344" i="7"/>
  <c r="C343"/>
  <c r="M165" i="3" l="1"/>
  <c r="M98"/>
  <c r="M31"/>
  <c r="I31"/>
  <c r="B345" i="7"/>
  <c r="C344"/>
  <c r="B346" l="1"/>
  <c r="C345"/>
  <c r="B347" l="1"/>
  <c r="C346"/>
  <c r="B348" l="1"/>
  <c r="C347"/>
  <c r="B349" l="1"/>
  <c r="C348"/>
  <c r="B350" l="1"/>
  <c r="C349"/>
  <c r="B351" l="1"/>
  <c r="C350"/>
  <c r="B352" l="1"/>
  <c r="C351"/>
  <c r="B353" l="1"/>
  <c r="C352"/>
  <c r="B354" l="1"/>
  <c r="C353"/>
  <c r="D57" s="1"/>
  <c r="S31" i="3" l="1"/>
  <c r="D32" s="1"/>
  <c r="S165"/>
  <c r="S98"/>
  <c r="G32"/>
  <c r="G99"/>
  <c r="G166"/>
  <c r="C354" i="7"/>
  <c r="B355"/>
  <c r="T98" i="3" l="1"/>
  <c r="D99"/>
  <c r="I99" s="1"/>
  <c r="T165"/>
  <c r="D166"/>
  <c r="I166" s="1"/>
  <c r="T31"/>
  <c r="B356" i="7"/>
  <c r="C355"/>
  <c r="M166" i="3" l="1"/>
  <c r="M99"/>
  <c r="M32"/>
  <c r="I32"/>
  <c r="B357" i="7"/>
  <c r="C356"/>
  <c r="B358" l="1"/>
  <c r="C357"/>
  <c r="B359" l="1"/>
  <c r="C358"/>
  <c r="B360" l="1"/>
  <c r="C359"/>
  <c r="B361" l="1"/>
  <c r="C360"/>
  <c r="B362" l="1"/>
  <c r="C361"/>
  <c r="B363" l="1"/>
  <c r="C362"/>
  <c r="B364" l="1"/>
  <c r="C363"/>
  <c r="B365" l="1"/>
  <c r="C364"/>
  <c r="B366" l="1"/>
  <c r="C365"/>
  <c r="D58" s="1"/>
  <c r="S32" i="3" l="1"/>
  <c r="D33" s="1"/>
  <c r="S166"/>
  <c r="S99"/>
  <c r="G33"/>
  <c r="G100"/>
  <c r="G167"/>
  <c r="C366" i="7"/>
  <c r="B367"/>
  <c r="T99" i="3" l="1"/>
  <c r="D100"/>
  <c r="T166"/>
  <c r="D167"/>
  <c r="I167" s="1"/>
  <c r="T32"/>
  <c r="B368" i="7"/>
  <c r="C367"/>
  <c r="M100" i="3" l="1"/>
  <c r="M167"/>
  <c r="I100"/>
  <c r="M33"/>
  <c r="I33"/>
  <c r="B369" i="7"/>
  <c r="C368"/>
  <c r="B370" l="1"/>
  <c r="C369"/>
  <c r="B371" l="1"/>
  <c r="C370"/>
  <c r="B372" l="1"/>
  <c r="C371"/>
  <c r="B373" l="1"/>
  <c r="C372"/>
  <c r="B374" l="1"/>
  <c r="C373"/>
  <c r="B375" l="1"/>
  <c r="C374"/>
  <c r="B376" l="1"/>
  <c r="C375"/>
  <c r="B377" l="1"/>
  <c r="C376"/>
  <c r="B378" l="1"/>
  <c r="C377"/>
  <c r="D59" s="1"/>
  <c r="S33" i="3" l="1"/>
  <c r="D34" s="1"/>
  <c r="S167"/>
  <c r="S100"/>
  <c r="G34"/>
  <c r="G168"/>
  <c r="G101"/>
  <c r="C378" i="7"/>
  <c r="B379"/>
  <c r="T100" i="3" l="1"/>
  <c r="D101"/>
  <c r="I101" s="1"/>
  <c r="T167"/>
  <c r="D168"/>
  <c r="T33"/>
  <c r="B380" i="7"/>
  <c r="C379"/>
  <c r="M168" i="3" l="1"/>
  <c r="I168"/>
  <c r="M101"/>
  <c r="M34"/>
  <c r="I34"/>
  <c r="B381" i="7"/>
  <c r="C380"/>
  <c r="B382" l="1"/>
  <c r="C381"/>
  <c r="B383" l="1"/>
  <c r="C382"/>
  <c r="B384" l="1"/>
  <c r="C383"/>
  <c r="B385" l="1"/>
  <c r="C384"/>
  <c r="B386" l="1"/>
  <c r="C385"/>
  <c r="B387" l="1"/>
  <c r="C386"/>
  <c r="B388" l="1"/>
  <c r="C387"/>
  <c r="B389" l="1"/>
  <c r="C388"/>
  <c r="B390" l="1"/>
  <c r="C389"/>
  <c r="D60" s="1"/>
  <c r="S34" i="3" l="1"/>
  <c r="D35" s="1"/>
  <c r="S168"/>
  <c r="S101"/>
  <c r="G35"/>
  <c r="G169"/>
  <c r="G102"/>
  <c r="B391" i="7"/>
  <c r="C390"/>
  <c r="T101" i="3" l="1"/>
  <c r="D102"/>
  <c r="M102" s="1"/>
  <c r="T168"/>
  <c r="D169"/>
  <c r="M169" s="1"/>
  <c r="T34"/>
  <c r="B392" i="7"/>
  <c r="C391"/>
  <c r="I102" i="3" l="1"/>
  <c r="I169"/>
  <c r="M35"/>
  <c r="I35"/>
  <c r="B393" i="7"/>
  <c r="C392"/>
  <c r="F31" i="1" l="1"/>
  <c r="D18" i="14"/>
  <c r="O19" i="5"/>
  <c r="B394" i="7"/>
  <c r="C393"/>
  <c r="Q67" i="5" l="1"/>
  <c r="M67" s="1"/>
  <c r="M12"/>
  <c r="Q47"/>
  <c r="O47" s="1"/>
  <c r="W20" i="9"/>
  <c r="V19"/>
  <c r="W19" s="1"/>
  <c r="S19"/>
  <c r="T19" s="1"/>
  <c r="Q35" i="5"/>
  <c r="Q24"/>
  <c r="M24" s="1"/>
  <c r="Q44"/>
  <c r="A4"/>
  <c r="Q16"/>
  <c r="M16" s="1"/>
  <c r="Q26"/>
  <c r="Q38"/>
  <c r="Q50"/>
  <c r="Q11"/>
  <c r="Q13"/>
  <c r="Q18"/>
  <c r="Q25"/>
  <c r="Q28"/>
  <c r="Q37"/>
  <c r="Q42"/>
  <c r="M42" s="1"/>
  <c r="Q52"/>
  <c r="M52" s="1"/>
  <c r="K35" i="9"/>
  <c r="Y35"/>
  <c r="L57"/>
  <c r="L54"/>
  <c r="L39"/>
  <c r="X53"/>
  <c r="V50" i="5"/>
  <c r="X35"/>
  <c r="V35"/>
  <c r="X16"/>
  <c r="V25"/>
  <c r="V47"/>
  <c r="V38"/>
  <c r="W16"/>
  <c r="AR18"/>
  <c r="AS18" s="1"/>
  <c r="AT18" s="1"/>
  <c r="AU18" s="1"/>
  <c r="AV18" s="1"/>
  <c r="AW18" s="1"/>
  <c r="AX18" s="1"/>
  <c r="AY18" s="1"/>
  <c r="AZ18" s="1"/>
  <c r="BA18" s="1"/>
  <c r="BB18" s="1"/>
  <c r="BC18" s="1"/>
  <c r="BD18" s="1"/>
  <c r="BE18" s="1"/>
  <c r="BF18" s="1"/>
  <c r="BG18" s="1"/>
  <c r="BH18" s="1"/>
  <c r="BI18" s="1"/>
  <c r="BJ18" s="1"/>
  <c r="BK18" s="1"/>
  <c r="BL18" s="1"/>
  <c r="O25"/>
  <c r="M28"/>
  <c r="M13"/>
  <c r="M11"/>
  <c r="M44"/>
  <c r="M26"/>
  <c r="M37"/>
  <c r="O43"/>
  <c r="B395" i="7"/>
  <c r="C394"/>
  <c r="S38" i="9" l="1"/>
  <c r="X38"/>
  <c r="X56"/>
  <c r="M57" s="1"/>
  <c r="N57" s="1"/>
  <c r="X41"/>
  <c r="M54"/>
  <c r="N54" s="1"/>
  <c r="J38"/>
  <c r="B396" i="7"/>
  <c r="C395"/>
  <c r="H77" i="14" l="1"/>
  <c r="F77" s="1"/>
  <c r="H24"/>
  <c r="H54"/>
  <c r="M39" i="9"/>
  <c r="N39" s="1"/>
  <c r="Y41"/>
  <c r="M40"/>
  <c r="B397" i="7"/>
  <c r="C396"/>
  <c r="F24" i="14" l="1"/>
  <c r="F54"/>
  <c r="B398" i="7"/>
  <c r="C397"/>
  <c r="B399" l="1"/>
  <c r="C398"/>
  <c r="B400" l="1"/>
  <c r="C399"/>
  <c r="B401" l="1"/>
  <c r="C400"/>
  <c r="B402" l="1"/>
  <c r="G36" i="3" s="1"/>
  <c r="C401" i="7"/>
  <c r="D61" s="1"/>
  <c r="S35" i="3" l="1"/>
  <c r="S66" s="1"/>
  <c r="S169"/>
  <c r="S102"/>
  <c r="B403" i="7"/>
  <c r="C402"/>
  <c r="T102" i="3" l="1"/>
  <c r="S133"/>
  <c r="T169"/>
  <c r="S200"/>
  <c r="T35"/>
  <c r="M36"/>
  <c r="B404" i="7"/>
  <c r="C403"/>
  <c r="B405" l="1"/>
  <c r="C404"/>
  <c r="B406" l="1"/>
  <c r="C405"/>
  <c r="B407" l="1"/>
  <c r="C406"/>
  <c r="B408" l="1"/>
  <c r="C407"/>
  <c r="B409" l="1"/>
  <c r="C408"/>
  <c r="B410" l="1"/>
  <c r="C409"/>
  <c r="B411" l="1"/>
  <c r="C410"/>
  <c r="B412" l="1"/>
  <c r="C411"/>
  <c r="B413" l="1"/>
  <c r="C412"/>
  <c r="B414" l="1"/>
  <c r="G37" i="3" s="1"/>
  <c r="C413" i="7"/>
  <c r="D62" s="1"/>
  <c r="B415" l="1"/>
  <c r="C414"/>
  <c r="T36" i="3" l="1"/>
  <c r="M37"/>
  <c r="B416" i="7"/>
  <c r="C415"/>
  <c r="B417" l="1"/>
  <c r="C416"/>
  <c r="B418" l="1"/>
  <c r="C417"/>
  <c r="B419" l="1"/>
  <c r="C418"/>
  <c r="B420" l="1"/>
  <c r="C419"/>
  <c r="B421" l="1"/>
  <c r="C420"/>
  <c r="B422" l="1"/>
  <c r="C421"/>
  <c r="B423" l="1"/>
  <c r="C422"/>
  <c r="B424" l="1"/>
  <c r="C423"/>
  <c r="B425" l="1"/>
  <c r="C424"/>
  <c r="B426" l="1"/>
  <c r="G38" i="3" s="1"/>
  <c r="C425" i="7"/>
  <c r="D63" s="1"/>
  <c r="B427" l="1"/>
  <c r="C426"/>
  <c r="T37" i="3" l="1"/>
  <c r="M38"/>
  <c r="B428" i="7"/>
  <c r="C427"/>
  <c r="B429" l="1"/>
  <c r="C428"/>
  <c r="B430" l="1"/>
  <c r="C429"/>
  <c r="B431" l="1"/>
  <c r="C430"/>
  <c r="B432" l="1"/>
  <c r="C431"/>
  <c r="B433" l="1"/>
  <c r="C432"/>
  <c r="B434" l="1"/>
  <c r="C433"/>
  <c r="B435" l="1"/>
  <c r="C434"/>
  <c r="B436" l="1"/>
  <c r="C435"/>
  <c r="B437" l="1"/>
  <c r="C436"/>
  <c r="B438" l="1"/>
  <c r="G39" i="3" s="1"/>
  <c r="C437" i="7"/>
  <c r="D64" s="1"/>
  <c r="B439" l="1"/>
  <c r="C438"/>
  <c r="T38" i="3" l="1"/>
  <c r="M39"/>
  <c r="B440" i="7"/>
  <c r="C439"/>
  <c r="B441" l="1"/>
  <c r="C440"/>
  <c r="B442" l="1"/>
  <c r="C441"/>
  <c r="B443" l="1"/>
  <c r="C442"/>
  <c r="B444" l="1"/>
  <c r="C443"/>
  <c r="B445" l="1"/>
  <c r="C444"/>
  <c r="B446" l="1"/>
  <c r="C445"/>
  <c r="B447" l="1"/>
  <c r="C446"/>
  <c r="B448" l="1"/>
  <c r="C447"/>
  <c r="B449" l="1"/>
  <c r="C448"/>
  <c r="B450" l="1"/>
  <c r="G40" i="3" s="1"/>
  <c r="C449" i="7"/>
  <c r="D65" s="1"/>
  <c r="B451" l="1"/>
  <c r="C450"/>
  <c r="T39" i="3" l="1"/>
  <c r="M40"/>
  <c r="B452" i="7"/>
  <c r="C451"/>
  <c r="B453" l="1"/>
  <c r="C452"/>
  <c r="B454" l="1"/>
  <c r="C453"/>
  <c r="B455" l="1"/>
  <c r="C454"/>
  <c r="B456" l="1"/>
  <c r="C455"/>
  <c r="B457" l="1"/>
  <c r="C456"/>
  <c r="B458" l="1"/>
  <c r="C457"/>
  <c r="B459" l="1"/>
  <c r="C458"/>
  <c r="B460" l="1"/>
  <c r="C459"/>
  <c r="B461" l="1"/>
  <c r="C460"/>
  <c r="B462" l="1"/>
  <c r="G41" i="3" s="1"/>
  <c r="C461" i="7"/>
  <c r="D66" s="1"/>
  <c r="B463" l="1"/>
  <c r="C462"/>
  <c r="T40" i="3" l="1"/>
  <c r="M41"/>
  <c r="B464" i="7"/>
  <c r="C463"/>
  <c r="B465" l="1"/>
  <c r="C464"/>
  <c r="B466" l="1"/>
  <c r="C465"/>
  <c r="B467" l="1"/>
  <c r="C466"/>
  <c r="B468" l="1"/>
  <c r="C467"/>
  <c r="B469" l="1"/>
  <c r="C468"/>
  <c r="B470" l="1"/>
  <c r="C469"/>
  <c r="B471" l="1"/>
  <c r="C470"/>
  <c r="B472" l="1"/>
  <c r="C471"/>
  <c r="B473" l="1"/>
  <c r="C472"/>
  <c r="B474" l="1"/>
  <c r="G42" i="3" s="1"/>
  <c r="C473" i="7"/>
  <c r="D67" s="1"/>
  <c r="B475" l="1"/>
  <c r="C474"/>
  <c r="T41" i="3" l="1"/>
  <c r="M42"/>
  <c r="B476" i="7"/>
  <c r="C475"/>
  <c r="B477" l="1"/>
  <c r="C476"/>
  <c r="B478" l="1"/>
  <c r="C477"/>
  <c r="B479" l="1"/>
  <c r="C478"/>
  <c r="B480" l="1"/>
  <c r="C479"/>
  <c r="B481" l="1"/>
  <c r="C480"/>
  <c r="B482" l="1"/>
  <c r="C481"/>
  <c r="B483" l="1"/>
  <c r="C482"/>
  <c r="B484" l="1"/>
  <c r="C483"/>
  <c r="B485" l="1"/>
  <c r="C484"/>
  <c r="B486" l="1"/>
  <c r="G43" i="3" s="1"/>
  <c r="C485" i="7"/>
  <c r="D68" s="1"/>
  <c r="B487" l="1"/>
  <c r="C486"/>
  <c r="T42" i="3" l="1"/>
  <c r="M43"/>
  <c r="B488" i="7"/>
  <c r="C487"/>
  <c r="B489" l="1"/>
  <c r="C488"/>
  <c r="B490" l="1"/>
  <c r="C489"/>
  <c r="B491" l="1"/>
  <c r="C490"/>
  <c r="B492" l="1"/>
  <c r="C491"/>
  <c r="B493" l="1"/>
  <c r="C492"/>
  <c r="B494" l="1"/>
  <c r="C493"/>
  <c r="B495" l="1"/>
  <c r="C494"/>
  <c r="B496" l="1"/>
  <c r="C495"/>
  <c r="B497" l="1"/>
  <c r="C496"/>
  <c r="B498" l="1"/>
  <c r="G44" i="3" s="1"/>
  <c r="C497" i="7"/>
  <c r="D69" s="1"/>
  <c r="B499" l="1"/>
  <c r="C498"/>
  <c r="T43" i="3" l="1"/>
  <c r="M44"/>
  <c r="B500" i="7"/>
  <c r="C499"/>
  <c r="B501" l="1"/>
  <c r="C500"/>
  <c r="B502" l="1"/>
  <c r="C501"/>
  <c r="B503" l="1"/>
  <c r="C502"/>
  <c r="B504" l="1"/>
  <c r="C503"/>
  <c r="B505" l="1"/>
  <c r="C504"/>
  <c r="B506" l="1"/>
  <c r="C505"/>
  <c r="B507" l="1"/>
  <c r="C506"/>
  <c r="B508" l="1"/>
  <c r="C507"/>
  <c r="B509" l="1"/>
  <c r="C508"/>
  <c r="B510" l="1"/>
  <c r="G45" i="3" s="1"/>
  <c r="C509" i="7"/>
  <c r="D70" s="1"/>
  <c r="B511" l="1"/>
  <c r="C510"/>
  <c r="T44" i="3" l="1"/>
  <c r="M45"/>
  <c r="B512" i="7"/>
  <c r="C511"/>
  <c r="B513" l="1"/>
  <c r="C512"/>
  <c r="B514" l="1"/>
  <c r="C513"/>
  <c r="B515" l="1"/>
  <c r="C514"/>
  <c r="B516" l="1"/>
  <c r="C515"/>
  <c r="B517" l="1"/>
  <c r="C516"/>
  <c r="B518" l="1"/>
  <c r="C517"/>
  <c r="B519" l="1"/>
  <c r="C518"/>
  <c r="B520" l="1"/>
  <c r="C519"/>
  <c r="B521" l="1"/>
  <c r="C520"/>
  <c r="B522" l="1"/>
  <c r="G46" i="3" s="1"/>
  <c r="C521" i="7"/>
  <c r="D71" s="1"/>
  <c r="B523" l="1"/>
  <c r="C522"/>
  <c r="T45" i="3" l="1"/>
  <c r="M46"/>
  <c r="B524" i="7"/>
  <c r="C523"/>
  <c r="B525" l="1"/>
  <c r="C524"/>
  <c r="B526" l="1"/>
  <c r="C525"/>
  <c r="B527" l="1"/>
  <c r="C526"/>
  <c r="B528" l="1"/>
  <c r="C527"/>
  <c r="B529" l="1"/>
  <c r="C528"/>
  <c r="B530" l="1"/>
  <c r="C529"/>
  <c r="B531" l="1"/>
  <c r="C530"/>
  <c r="B532" l="1"/>
  <c r="C531"/>
  <c r="B533" l="1"/>
  <c r="C532"/>
  <c r="B534" l="1"/>
  <c r="G47" i="3" s="1"/>
  <c r="C533" i="7"/>
  <c r="D72" s="1"/>
  <c r="B535" l="1"/>
  <c r="C534"/>
  <c r="T46" i="3" l="1"/>
  <c r="M47"/>
  <c r="B536" i="7"/>
  <c r="C535"/>
  <c r="B537" l="1"/>
  <c r="C536"/>
  <c r="B538" l="1"/>
  <c r="C537"/>
  <c r="B539" l="1"/>
  <c r="C538"/>
  <c r="B540" l="1"/>
  <c r="C539"/>
  <c r="B541" l="1"/>
  <c r="C540"/>
  <c r="B542" l="1"/>
  <c r="C541"/>
  <c r="B543" l="1"/>
  <c r="C542"/>
  <c r="B544" l="1"/>
  <c r="C543"/>
  <c r="B545" l="1"/>
  <c r="C544"/>
  <c r="B546" l="1"/>
  <c r="G48" i="3" s="1"/>
  <c r="C545" i="7"/>
  <c r="D73" s="1"/>
  <c r="B547" l="1"/>
  <c r="C546"/>
  <c r="T47" i="3" l="1"/>
  <c r="M48"/>
  <c r="B548" i="7"/>
  <c r="C547"/>
  <c r="B549" l="1"/>
  <c r="C548"/>
  <c r="B550" l="1"/>
  <c r="C549"/>
  <c r="B551" l="1"/>
  <c r="C550"/>
  <c r="B552" l="1"/>
  <c r="C551"/>
  <c r="B553" l="1"/>
  <c r="C552"/>
  <c r="B554" l="1"/>
  <c r="C553"/>
  <c r="B555" l="1"/>
  <c r="C554"/>
  <c r="B556" l="1"/>
  <c r="C555"/>
  <c r="B557" l="1"/>
  <c r="C556"/>
  <c r="B558" l="1"/>
  <c r="G49" i="3" s="1"/>
  <c r="C557" i="7"/>
  <c r="D74" s="1"/>
  <c r="B559" l="1"/>
  <c r="C558"/>
  <c r="T48" i="3" l="1"/>
  <c r="B560" i="7"/>
  <c r="C559"/>
  <c r="M49" i="3" l="1"/>
  <c r="B561" i="7"/>
  <c r="C560"/>
  <c r="B562" l="1"/>
  <c r="C561"/>
  <c r="B563" l="1"/>
  <c r="C562"/>
  <c r="B564" l="1"/>
  <c r="C563"/>
  <c r="B565" l="1"/>
  <c r="C564"/>
  <c r="B566" l="1"/>
  <c r="C565"/>
  <c r="B567" l="1"/>
  <c r="C566"/>
  <c r="B568" l="1"/>
  <c r="C567"/>
  <c r="B569" l="1"/>
  <c r="C568"/>
  <c r="B570" l="1"/>
  <c r="G50" i="3" s="1"/>
  <c r="C569" i="7"/>
  <c r="D75" s="1"/>
  <c r="B571" l="1"/>
  <c r="C570"/>
  <c r="T49" i="3" l="1"/>
  <c r="B572" i="7"/>
  <c r="C571"/>
  <c r="M50" i="3" l="1"/>
  <c r="B573" i="7"/>
  <c r="C572"/>
  <c r="B574" l="1"/>
  <c r="C573"/>
  <c r="B575" l="1"/>
  <c r="C574"/>
  <c r="B576" l="1"/>
  <c r="C575"/>
  <c r="B577" l="1"/>
  <c r="C576"/>
  <c r="B578" l="1"/>
  <c r="C577"/>
  <c r="B579" l="1"/>
  <c r="C578"/>
  <c r="B580" l="1"/>
  <c r="C579"/>
  <c r="B581" l="1"/>
  <c r="C580"/>
  <c r="B582" l="1"/>
  <c r="G51" i="3" s="1"/>
  <c r="C581" i="7"/>
  <c r="D76" s="1"/>
  <c r="B583" l="1"/>
  <c r="C582"/>
  <c r="T50" i="3" l="1"/>
  <c r="B584" i="7"/>
  <c r="C583"/>
  <c r="M51" i="3" l="1"/>
  <c r="B585" i="7"/>
  <c r="C584"/>
  <c r="B586" l="1"/>
  <c r="C585"/>
  <c r="B587" l="1"/>
  <c r="C586"/>
  <c r="B588" l="1"/>
  <c r="C587"/>
  <c r="B589" l="1"/>
  <c r="C588"/>
  <c r="B590" l="1"/>
  <c r="C589"/>
  <c r="B591" l="1"/>
  <c r="C590"/>
  <c r="B592" l="1"/>
  <c r="C591"/>
  <c r="B593" l="1"/>
  <c r="C592"/>
  <c r="B594" l="1"/>
  <c r="G52" i="3" s="1"/>
  <c r="C593" i="7"/>
  <c r="D77" s="1"/>
  <c r="B595" l="1"/>
  <c r="C594"/>
  <c r="T51" i="3" l="1"/>
  <c r="B596" i="7"/>
  <c r="C595"/>
  <c r="M52" i="3" l="1"/>
  <c r="B597" i="7"/>
  <c r="C596"/>
  <c r="B598" l="1"/>
  <c r="C597"/>
  <c r="B599" l="1"/>
  <c r="C598"/>
  <c r="B600" l="1"/>
  <c r="C599"/>
  <c r="B601" l="1"/>
  <c r="C600"/>
  <c r="B602" l="1"/>
  <c r="C601"/>
  <c r="B603" l="1"/>
  <c r="C602"/>
  <c r="B604" l="1"/>
  <c r="C603"/>
  <c r="B605" l="1"/>
  <c r="C604"/>
  <c r="B606" l="1"/>
  <c r="G53" i="3" s="1"/>
  <c r="C605" i="7"/>
  <c r="D78" s="1"/>
  <c r="B607" l="1"/>
  <c r="C606"/>
  <c r="T52" i="3" l="1"/>
  <c r="B608" i="7"/>
  <c r="C607"/>
  <c r="M53" i="3" l="1"/>
  <c r="B609" i="7"/>
  <c r="C608"/>
  <c r="B610" l="1"/>
  <c r="C609"/>
  <c r="B611" l="1"/>
  <c r="C610"/>
  <c r="B612" l="1"/>
  <c r="C611"/>
  <c r="B613" l="1"/>
  <c r="C612"/>
  <c r="B614" l="1"/>
  <c r="C613"/>
  <c r="B615" l="1"/>
  <c r="C614"/>
  <c r="B616" l="1"/>
  <c r="C615"/>
  <c r="B617" l="1"/>
  <c r="C616"/>
  <c r="B618" l="1"/>
  <c r="G54" i="3" s="1"/>
  <c r="C617" i="7"/>
  <c r="D79" s="1"/>
  <c r="B619" l="1"/>
  <c r="C618"/>
  <c r="T53" i="3" l="1"/>
  <c r="B620" i="7"/>
  <c r="C619"/>
  <c r="M54" i="3" l="1"/>
  <c r="B621" i="7"/>
  <c r="C620"/>
  <c r="B622" l="1"/>
  <c r="C621"/>
  <c r="B623" l="1"/>
  <c r="C622"/>
  <c r="B624" l="1"/>
  <c r="C623"/>
  <c r="B625" l="1"/>
  <c r="C624"/>
  <c r="B626" l="1"/>
  <c r="C625"/>
  <c r="B627" l="1"/>
  <c r="C626"/>
  <c r="B628" l="1"/>
  <c r="C627"/>
  <c r="B629" l="1"/>
  <c r="C628"/>
  <c r="B630" l="1"/>
  <c r="C629"/>
  <c r="D80" s="1"/>
  <c r="G55" i="3" l="1"/>
  <c r="G56"/>
  <c r="G57"/>
  <c r="G58"/>
  <c r="G59"/>
  <c r="G60"/>
  <c r="G61"/>
  <c r="G62"/>
  <c r="G63"/>
  <c r="G64"/>
  <c r="G65"/>
  <c r="C630" i="7"/>
  <c r="T54" i="3" l="1"/>
  <c r="M55" l="1"/>
  <c r="M56"/>
  <c r="M57" l="1"/>
  <c r="M58" l="1"/>
  <c r="O32" i="5"/>
  <c r="O22"/>
  <c r="O20"/>
  <c r="M25"/>
  <c r="O35"/>
  <c r="S40" i="9" l="1"/>
  <c r="T40" s="1"/>
  <c r="J40"/>
  <c r="K40" s="1"/>
  <c r="X40"/>
  <c r="Y40" s="1"/>
  <c r="X38" i="5"/>
  <c r="M38" s="1"/>
  <c r="X50"/>
  <c r="M50" s="1"/>
  <c r="M35"/>
  <c r="M59" i="3"/>
  <c r="M47" i="5"/>
  <c r="S39" i="9" s="1"/>
  <c r="M18" i="5"/>
  <c r="S53" i="9" l="1"/>
  <c r="S56"/>
  <c r="S57" s="1"/>
  <c r="J39"/>
  <c r="D81" i="14"/>
  <c r="T39" i="9"/>
  <c r="D82" i="14" s="1"/>
  <c r="X39" i="9"/>
  <c r="M60" i="3"/>
  <c r="BM18" i="5"/>
  <c r="D28" i="14" l="1"/>
  <c r="D58"/>
  <c r="S41" i="9"/>
  <c r="S42" s="1"/>
  <c r="K39"/>
  <c r="J41"/>
  <c r="J42" s="1"/>
  <c r="J53"/>
  <c r="J56"/>
  <c r="Y39"/>
  <c r="O39"/>
  <c r="X42" s="1"/>
  <c r="O54"/>
  <c r="X54" s="1"/>
  <c r="O57"/>
  <c r="X57" s="1"/>
  <c r="M61" i="3"/>
  <c r="S54" i="9" l="1"/>
  <c r="S59" s="1"/>
  <c r="S44" s="1"/>
  <c r="J57"/>
  <c r="D29" i="14"/>
  <c r="D59"/>
  <c r="T41" i="9"/>
  <c r="X59"/>
  <c r="Y42"/>
  <c r="L41"/>
  <c r="M41"/>
  <c r="M42" s="1"/>
  <c r="L40"/>
  <c r="L42" s="1"/>
  <c r="X43"/>
  <c r="Y43" s="1"/>
  <c r="K41"/>
  <c r="J43"/>
  <c r="J54"/>
  <c r="J59" s="1"/>
  <c r="M62" i="3"/>
  <c r="H81" i="14" l="1"/>
  <c r="F28"/>
  <c r="F58"/>
  <c r="T44" i="9"/>
  <c r="H82" i="14" s="1"/>
  <c r="S45" i="9"/>
  <c r="T42"/>
  <c r="S43"/>
  <c r="F81" i="14" s="1"/>
  <c r="F85" s="1"/>
  <c r="K43" i="9"/>
  <c r="J44"/>
  <c r="X44"/>
  <c r="X45" s="1"/>
  <c r="Y45" s="1"/>
  <c r="K42"/>
  <c r="M63" i="3"/>
  <c r="H58" i="14" l="1"/>
  <c r="F62" s="1"/>
  <c r="H62" s="1"/>
  <c r="F29"/>
  <c r="F59"/>
  <c r="T45" i="9"/>
  <c r="T43"/>
  <c r="F82" i="14" s="1"/>
  <c r="X21" i="9"/>
  <c r="K44"/>
  <c r="H28" i="14"/>
  <c r="J45" i="9"/>
  <c r="Y44"/>
  <c r="M64" i="3"/>
  <c r="H29" i="14" l="1"/>
  <c r="H59"/>
  <c r="Y21" i="9"/>
  <c r="X24"/>
  <c r="V21"/>
  <c r="V24" s="1"/>
  <c r="K45"/>
  <c r="Q21"/>
  <c r="S21"/>
  <c r="T21" s="1"/>
  <c r="M65" i="3"/>
  <c r="W24" i="9" l="1"/>
  <c r="V25"/>
  <c r="W21"/>
  <c r="Y24"/>
  <c r="K5" i="3"/>
  <c r="L5" s="1"/>
  <c r="K6"/>
  <c r="L6" s="1"/>
  <c r="K7"/>
  <c r="L7" s="1"/>
  <c r="K9"/>
  <c r="L9" s="1"/>
  <c r="K8"/>
  <c r="L8" s="1"/>
  <c r="K10"/>
  <c r="L10" s="1"/>
  <c r="K11"/>
  <c r="L11" s="1"/>
  <c r="K12"/>
  <c r="L12" s="1"/>
  <c r="K13"/>
  <c r="L13" s="1"/>
  <c r="K14"/>
  <c r="L14" s="1"/>
  <c r="K15"/>
  <c r="K16"/>
  <c r="L16" s="1"/>
  <c r="K17"/>
  <c r="L17" s="1"/>
  <c r="K18"/>
  <c r="L18" s="1"/>
  <c r="K19"/>
  <c r="L19" s="1"/>
  <c r="K20"/>
  <c r="L20" s="1"/>
  <c r="K21"/>
  <c r="L21" s="1"/>
  <c r="K22"/>
  <c r="L22" s="1"/>
  <c r="K23"/>
  <c r="L23" s="1"/>
  <c r="K24"/>
  <c r="L24" s="1"/>
  <c r="K25"/>
  <c r="L25" s="1"/>
  <c r="K26"/>
  <c r="L26" s="1"/>
  <c r="K27"/>
  <c r="L27" s="1"/>
  <c r="K28"/>
  <c r="L28" s="1"/>
  <c r="K29"/>
  <c r="L29" s="1"/>
  <c r="K30"/>
  <c r="L30" s="1"/>
  <c r="K31"/>
  <c r="L31" s="1"/>
  <c r="K32"/>
  <c r="L32" s="1"/>
  <c r="K33"/>
  <c r="L33" s="1"/>
  <c r="K34"/>
  <c r="L34" s="1"/>
  <c r="K35"/>
  <c r="L35" s="1"/>
  <c r="L15" l="1"/>
  <c r="A22" i="14"/>
  <c r="S22" i="9" l="1"/>
  <c r="T22" s="1"/>
  <c r="F32" i="14"/>
  <c r="H32" s="1"/>
  <c r="S24" i="9" l="1"/>
  <c r="S25" s="1"/>
  <c r="T24" l="1"/>
</calcChain>
</file>

<file path=xl/comments1.xml><?xml version="1.0" encoding="utf-8"?>
<comments xmlns="http://schemas.openxmlformats.org/spreadsheetml/2006/main">
  <authors>
    <author>X044507</author>
    <author>x044507</author>
  </authors>
  <commentList>
    <comment ref="A2" authorId="0">
      <text>
        <r>
          <rPr>
            <b/>
            <sz val="8"/>
            <color indexed="10"/>
            <rFont val="Tahoma"/>
            <family val="2"/>
          </rPr>
          <t>HELP</t>
        </r>
        <r>
          <rPr>
            <b/>
            <sz val="8"/>
            <color indexed="81"/>
            <rFont val="Tahoma"/>
            <family val="2"/>
          </rPr>
          <t xml:space="preserve"> - Contact Robert Karl, CPA*</t>
        </r>
        <r>
          <rPr>
            <sz val="8"/>
            <color indexed="81"/>
            <rFont val="Tahoma"/>
            <family val="2"/>
          </rPr>
          <t xml:space="preserve">  (Author)</t>
        </r>
        <r>
          <rPr>
            <b/>
            <sz val="8"/>
            <color indexed="81"/>
            <rFont val="Tahoma"/>
            <family val="2"/>
          </rPr>
          <t xml:space="preserve">
robert.karl@ prudential.com   work # 973-802-7338.
</t>
        </r>
        <r>
          <rPr>
            <sz val="8"/>
            <color indexed="81"/>
            <rFont val="Tahoma"/>
            <family val="2"/>
          </rPr>
          <t>EXCEL Terminology - This is a Workbook, which is a collection of many worksheets.  You can hide and unhide worksheets within the workbook.  Many sheets (for more advanced analyisis) are hidden.  Generally, become familiar with the optional hidden worksheets (see Optional Worksheets Help), but hide those that are not needed before printing and print the entire workbook.  See below for additional printing help.</t>
        </r>
        <r>
          <rPr>
            <b/>
            <sz val="8"/>
            <color indexed="81"/>
            <rFont val="Tahoma"/>
            <family val="2"/>
          </rPr>
          <t xml:space="preserve">
</t>
        </r>
        <r>
          <rPr>
            <b/>
            <sz val="8"/>
            <color indexed="10"/>
            <rFont val="Tahoma"/>
            <family val="2"/>
          </rPr>
          <t>ADDITIONAL INPUT &amp; CASH FLOW PROJECTIONS</t>
        </r>
        <r>
          <rPr>
            <b/>
            <sz val="8"/>
            <color indexed="81"/>
            <rFont val="Tahoma"/>
            <family val="2"/>
          </rPr>
          <t xml:space="preserve"> - </t>
        </r>
        <r>
          <rPr>
            <sz val="8"/>
            <color indexed="81"/>
            <rFont val="Tahoma"/>
            <family val="2"/>
          </rPr>
          <t xml:space="preserve">Additional sheets are available and are hidden.  To input more data and view detailed cash flow projections, unhide the Additional Input and Projections worksheets by right clicking on any tab and picking them from the Unhide worksheet listing.  
</t>
        </r>
        <r>
          <rPr>
            <sz val="8"/>
            <color indexed="10"/>
            <rFont val="Tahoma"/>
            <family val="2"/>
          </rPr>
          <t>ALSO, See the LIMITATIONS bubble help to the right for additional details and options.</t>
        </r>
        <r>
          <rPr>
            <b/>
            <sz val="8"/>
            <color indexed="81"/>
            <rFont val="Tahoma"/>
            <family val="2"/>
          </rPr>
          <t xml:space="preserve">
Entering Data</t>
        </r>
        <r>
          <rPr>
            <sz val="8"/>
            <color indexed="81"/>
            <rFont val="Tahoma"/>
            <family val="2"/>
          </rPr>
          <t xml:space="preserve"> - Boxed fields are variable input fields.  If you want to enter multiple numbers in a single cell by typing a formula.  To type a formula, click on the cell and type an equals sign first, then the first #, then a + symbol, then the next # and so on.  Hit the enter key when finished to record your formula.  Also, use an average growth rate for the asset class. 
</t>
        </r>
        <r>
          <rPr>
            <b/>
            <sz val="8"/>
            <color indexed="81"/>
            <rFont val="Tahoma"/>
            <family val="2"/>
          </rPr>
          <t>To Print</t>
        </r>
        <r>
          <rPr>
            <sz val="8"/>
            <color indexed="81"/>
            <rFont val="Tahoma"/>
            <family val="2"/>
          </rPr>
          <t xml:space="preserve"> - click the Office Button or symbol (upper left corner of  screen); click Print; select printer; BEFORE clicking OK to Print, Look for "Print What" section of the Print popup windo and select Entire Workbook instead of Active sheet; then click OK.  If you want to only print the active sheet you're looking at, just click OK.  
BUT REMEMBER, YOU NEED THE TITLE SHEET, WHICH INCLUDES AN APPROPRIATE DISCLAIMER.
</t>
        </r>
        <r>
          <rPr>
            <b/>
            <sz val="8"/>
            <color indexed="81"/>
            <rFont val="Tahoma"/>
            <family val="2"/>
          </rPr>
          <t>Hiding a Sheet</t>
        </r>
        <r>
          <rPr>
            <sz val="8"/>
            <color indexed="81"/>
            <rFont val="Tahoma"/>
            <family val="2"/>
          </rPr>
          <t xml:space="preserve"> -  If a worksheet is not needed, you can hide them.  To hide a worksheet, right click on the worksheet tab and select Hide.  You can also Unhide them after their hidden by clicking on any visible worksheet tab and clicking Unhide from the popup list.
</t>
        </r>
        <r>
          <rPr>
            <b/>
            <sz val="8"/>
            <color indexed="81"/>
            <rFont val="Tahoma"/>
            <family val="2"/>
          </rPr>
          <t>*</t>
        </r>
        <r>
          <rPr>
            <sz val="8"/>
            <color indexed="81"/>
            <rFont val="Tahoma"/>
            <family val="2"/>
          </rPr>
          <t xml:space="preserve"> Does not represent Prudential in the practice of accountancy.</t>
        </r>
      </text>
    </comment>
    <comment ref="C2" authorId="0">
      <text>
        <r>
          <rPr>
            <b/>
            <sz val="8"/>
            <color indexed="10"/>
            <rFont val="Tahoma"/>
            <family val="2"/>
          </rPr>
          <t>ADDITIONAL INPUT &amp; CASH FLOW PROJECTIONS</t>
        </r>
        <r>
          <rPr>
            <b/>
            <sz val="8"/>
            <color indexed="81"/>
            <rFont val="Tahoma"/>
            <family val="2"/>
          </rPr>
          <t xml:space="preserve"> - Optional worksheets</t>
        </r>
        <r>
          <rPr>
            <sz val="8"/>
            <color indexed="81"/>
            <rFont val="Tahoma"/>
            <family val="2"/>
          </rPr>
          <t xml:space="preserve"> have been added and are hidden.  To input more data and view detailed cash flow projections, unhide the Additional Input worksheet and the Projections worksheet by right clicking on any tab and picking them from the Unhide sheet listing. 45 years are displayed, but 60 years are available, if you send a note to Robert Karl to open up the extra years.  To fine tune cash flow even further, unhide the Adjustments worksheet and you can layer on additional amounts on top of the existing cash flow (plus or minus).
</t>
        </r>
        <r>
          <rPr>
            <b/>
            <sz val="8"/>
            <color indexed="81"/>
            <rFont val="Tahoma"/>
            <family val="2"/>
          </rPr>
          <t xml:space="preserve">
HIDDEN Sheets
 </t>
        </r>
        <r>
          <rPr>
            <sz val="8"/>
            <color indexed="81"/>
            <rFont val="Tahoma"/>
            <family val="2"/>
          </rPr>
          <t xml:space="preserve">- Additional Input
 - Adjustments
 - Projections
 - State Details
 - FactSheet
 - TaxTables
</t>
        </r>
        <r>
          <rPr>
            <b/>
            <sz val="8"/>
            <color indexed="81"/>
            <rFont val="Tahoma"/>
            <family val="2"/>
          </rPr>
          <t xml:space="preserve">
Sheets vs Workbooks in Excel - </t>
        </r>
        <r>
          <rPr>
            <sz val="8"/>
            <color indexed="81"/>
            <rFont val="Tahoma"/>
            <family val="2"/>
          </rPr>
          <t>Excel can have multiple sheets.  Sheets are identified by the TABs at the bottom of the screeen.  You may have to maximize your window to see the TABs.  All sheets represent a Workbook.  When printing, you can print either a stand-a-lone worksheet or the entire workbook.  Select which in the Print Options popup screen, where you pick your printer.</t>
        </r>
        <r>
          <rPr>
            <b/>
            <sz val="8"/>
            <color indexed="81"/>
            <rFont val="Tahoma"/>
            <family val="2"/>
          </rPr>
          <t xml:space="preserve">
Unhiding an Excel sheet - </t>
        </r>
        <r>
          <rPr>
            <sz val="8"/>
            <color indexed="81"/>
            <rFont val="Tahoma"/>
            <family val="2"/>
          </rPr>
          <t>Unhide a sheet by simply RIGHT clicking on any of the TABs and selecting the hidden sheet from the Unhide sheet popup listing.</t>
        </r>
        <r>
          <rPr>
            <b/>
            <sz val="8"/>
            <color indexed="81"/>
            <rFont val="Tahoma"/>
            <family val="2"/>
          </rPr>
          <t xml:space="preserve">
Hiding an Excel sheet</t>
        </r>
        <r>
          <rPr>
            <sz val="8"/>
            <color indexed="81"/>
            <rFont val="Tahoma"/>
            <family val="2"/>
          </rPr>
          <t xml:space="preserve"> -  If a sheet is not needed, you can hide them, and you should before printing the entire workbook.  </t>
        </r>
        <r>
          <rPr>
            <u/>
            <sz val="8"/>
            <color indexed="81"/>
            <rFont val="Tahoma"/>
            <family val="2"/>
          </rPr>
          <t>Hidden worksheets do not print, unless you unhide them</t>
        </r>
        <r>
          <rPr>
            <sz val="8"/>
            <color indexed="81"/>
            <rFont val="Tahoma"/>
            <family val="2"/>
          </rPr>
          <t>.  To hide a worksheet, right click on the worksheet TAB and select Hide.  You can also Unhide them after they're hidden by following the steps above.</t>
        </r>
      </text>
    </comment>
    <comment ref="H2" authorId="1">
      <text>
        <r>
          <rPr>
            <sz val="9"/>
            <color indexed="81"/>
            <rFont val="Tahoma"/>
            <family val="2"/>
          </rPr>
          <t xml:space="preserve">Robert Karl (author) has a </t>
        </r>
        <r>
          <rPr>
            <sz val="9"/>
            <color indexed="10"/>
            <rFont val="Tahoma"/>
            <family val="2"/>
          </rPr>
          <t>more advanced worksheet</t>
        </r>
        <r>
          <rPr>
            <sz val="9"/>
            <color indexed="81"/>
            <rFont val="Tahoma"/>
            <family val="2"/>
          </rPr>
          <t xml:space="preserve"> that includes the following additions:
 - Individual income for each spouse
 - Individual retirement accounts/contributions for each spouse
 - Basic Social Security calculations with deferrals analyzed
 - NQ and Q annuities with guaranteed income
 - Medicare surtax
 - Survivor Needs
 - College expenses
 - Long Term Care expenses
 - Taxable gifts with discounts
 - More adjustments, such as downsizing a residence
If your case needs these feature or you need help with this worksheet, EMAIL or FAX your case situation for a more indepth analysis to Robert Karl FAX 973-802-2600  TELE 973-802-7338.</t>
        </r>
      </text>
    </comment>
    <comment ref="A4" authorId="0">
      <text>
        <r>
          <rPr>
            <sz val="8"/>
            <color indexed="81"/>
            <rFont val="Tahoma"/>
            <family val="2"/>
          </rPr>
          <t>If Client is single, delete the spouse input field.  Don't enter zero.  ALSO, uncheck Married and uncheck 2 "State" Exclusions w/State QTIP.</t>
        </r>
      </text>
    </comment>
    <comment ref="A5" authorId="0">
      <text>
        <r>
          <rPr>
            <sz val="8"/>
            <color indexed="81"/>
            <rFont val="Tahoma"/>
            <family val="2"/>
          </rPr>
          <t xml:space="preserve">ENTER either Total Assets (Net of Debts) OR, if entering optional other assets and debts, enter Liquid/Investments assets here with their appropriate growth rate and open the HIDDEN worksheet </t>
        </r>
        <r>
          <rPr>
            <b/>
            <sz val="8"/>
            <color indexed="10"/>
            <rFont val="Tahoma"/>
            <family val="2"/>
          </rPr>
          <t>Additional Input</t>
        </r>
        <r>
          <rPr>
            <sz val="8"/>
            <color indexed="81"/>
            <rFont val="Tahoma"/>
            <family val="2"/>
          </rPr>
          <t xml:space="preserve"> to enter additional assets and debts and their individual growth rates.  See Help on Optional Worksheets above.</t>
        </r>
      </text>
    </comment>
    <comment ref="R5" authorId="1">
      <text>
        <r>
          <rPr>
            <sz val="8"/>
            <color indexed="81"/>
            <rFont val="Tahoma"/>
            <family val="2"/>
          </rPr>
          <t>Limited by 2X Net Worth.</t>
        </r>
      </text>
    </comment>
    <comment ref="A6" authorId="0">
      <text>
        <r>
          <rPr>
            <sz val="8"/>
            <color indexed="81"/>
            <rFont val="Tahoma"/>
            <family val="2"/>
          </rPr>
          <t xml:space="preserve">If Net Worth is greater than the Assets listed above, see HIDDEN worksheet </t>
        </r>
        <r>
          <rPr>
            <b/>
            <sz val="8"/>
            <color indexed="10"/>
            <rFont val="Tahoma"/>
            <family val="2"/>
          </rPr>
          <t>Additional Input</t>
        </r>
        <r>
          <rPr>
            <sz val="8"/>
            <color indexed="81"/>
            <rFont val="Tahoma"/>
            <family val="2"/>
          </rPr>
          <t xml:space="preserve"> for other inputs.   See Help on Optional Worksheets above.</t>
        </r>
      </text>
    </comment>
    <comment ref="A7" authorId="1">
      <text>
        <r>
          <rPr>
            <sz val="8"/>
            <color indexed="81"/>
            <rFont val="Tahoma"/>
            <family val="2"/>
          </rPr>
          <t>Enter Term DB and # of Years.  Term premiums not reflected or input as part of spending on Additional HIDDEN input sheet.  ALL Insurance assumed insuring life of client.</t>
        </r>
      </text>
    </comment>
    <comment ref="H7" authorId="0">
      <text>
        <r>
          <rPr>
            <sz val="8"/>
            <color indexed="81"/>
            <rFont val="Tahoma"/>
            <family val="2"/>
          </rPr>
          <t>If transferring a life insurance policy out of the taxable estate, project mortality "more" than 3 years as the death benefit is added back for 3 years.</t>
        </r>
      </text>
    </comment>
    <comment ref="A8" authorId="1">
      <text>
        <r>
          <rPr>
            <sz val="8"/>
            <color indexed="81"/>
            <rFont val="Tahoma"/>
            <family val="2"/>
          </rPr>
          <t xml:space="preserve">Permanent premums assumed included in spending or if input to the right, picked up as additional gifts.  ALL Insurance assumed insuring life of client and owned by client.
</t>
        </r>
      </text>
    </comment>
    <comment ref="A10" authorId="0">
      <text>
        <r>
          <rPr>
            <sz val="8"/>
            <color indexed="81"/>
            <rFont val="Tahoma"/>
            <family val="2"/>
          </rPr>
          <t xml:space="preserve">If single, uncheck (FALSE).  If married, check it (TRUE), if the client is expected to have a credit shelter trust arrangement in place or if you want to assume Portability rules.  
Portability - a decedent can pass 100% of their assets to their surviving spouse and also pass their unused applicable exclusion amount to their surviving spouse by simply filing a federal estate tax return.
The estate and gift tax law allows each resident (U.S. Citizen or Resident Non U.S. Citizen) an amount that can be distributed estate or gift tax-free.  This amount is the Applicable Exclusion Amount.  Currently in 2013 it is $5,250,000.  </t>
        </r>
      </text>
    </comment>
    <comment ref="D10" authorId="0">
      <text>
        <r>
          <rPr>
            <sz val="8"/>
            <color indexed="81"/>
            <rFont val="Tahoma"/>
            <family val="2"/>
          </rPr>
          <t xml:space="preserve">If single, uncheck this field (False). (1 exclusion)
If married, with a Credit Shelter Trust (CST), check this field (True), especially with the new portability of the first spouse's Applicable Exclusion Amount. (2 exclusions)
If married, with a Will - All to Spouse (no CST), consider unchecking this field (False) to force only 1 Applicable Exclusion Amount, if you want to assume no continuation of the new portability rules. 
If married, deaths are assumed to occur in the same calender year with NO growth between deaths.
</t>
        </r>
      </text>
    </comment>
    <comment ref="F10" authorId="0">
      <text>
        <r>
          <rPr>
            <b/>
            <sz val="8"/>
            <color indexed="10"/>
            <rFont val="Tahoma"/>
            <family val="2"/>
          </rPr>
          <t>Logic Check.</t>
        </r>
        <r>
          <rPr>
            <sz val="8"/>
            <color indexed="81"/>
            <rFont val="Tahoma"/>
            <family val="2"/>
          </rPr>
          <t xml:space="preserve">  </t>
        </r>
        <r>
          <rPr>
            <b/>
            <sz val="8"/>
            <color indexed="10"/>
            <rFont val="Tahoma"/>
            <family val="2"/>
          </rPr>
          <t>ERROR</t>
        </r>
        <r>
          <rPr>
            <sz val="8"/>
            <color indexed="81"/>
            <rFont val="Tahoma"/>
            <family val="2"/>
          </rPr>
          <t xml:space="preserve"> is shown if  spouse field is blank and cell D10 is checked (True) 
</t>
        </r>
        <r>
          <rPr>
            <b/>
            <sz val="8"/>
            <color indexed="10"/>
            <rFont val="Tahoma"/>
            <family val="2"/>
          </rPr>
          <t>To Correct</t>
        </r>
        <r>
          <rPr>
            <sz val="8"/>
            <color indexed="81"/>
            <rFont val="Tahoma"/>
            <family val="2"/>
          </rPr>
          <t>, uncheck D10 (False)</t>
        </r>
      </text>
    </comment>
    <comment ref="A13" authorId="0">
      <text>
        <r>
          <rPr>
            <sz val="8"/>
            <color indexed="81"/>
            <rFont val="Tahoma"/>
            <family val="2"/>
          </rPr>
          <t xml:space="preserve">Enter 2 digit resident state letters (upper or lower case).  A resident state is the state were you live, vote, pay state taxes, not the tax-free "safe haven" where you have a 2nd home.
If you own Real Estate in another state, you would generally pay state estate tax in the state where the real estate exists.  </t>
        </r>
      </text>
    </comment>
    <comment ref="I13" authorId="0">
      <text>
        <r>
          <rPr>
            <sz val="8"/>
            <color indexed="81"/>
            <rFont val="Tahoma"/>
            <family val="2"/>
          </rPr>
          <t xml:space="preserve">States that have decoupled from the federal state death tax credit </t>
        </r>
        <r>
          <rPr>
            <u/>
            <sz val="8"/>
            <color indexed="81"/>
            <rFont val="Tahoma"/>
            <family val="2"/>
          </rPr>
          <t>and</t>
        </r>
        <r>
          <rPr>
            <sz val="8"/>
            <color indexed="81"/>
            <rFont val="Tahoma"/>
            <family val="2"/>
          </rPr>
          <t xml:space="preserve"> states that have their own state estate taxes generally have lower exclusion amounts than the federal exclusion.
For states that have decoupled or have their own tax, fully funding a Credit Shelter Trust (B Trust or Family Trust) will trigger state estate taxes, if they have a lower exclusion amount, unless the state allows a special state QTIP trust.  A state QTIP trust is excluded from the surviving spouse's taxable estate for federal estate tax purposes, but included in the surviving spouse's taxable estate for state estate tax purposes.
If married with 2 federal exclusions, check the 2 State QTIP box if the state allows a state QTIP trust.  If not, leave box unchecked.  If the state QTIP is N/A, it doesn't matter if box is checked or not.</t>
        </r>
      </text>
    </comment>
    <comment ref="A14" authorId="0">
      <text>
        <r>
          <rPr>
            <sz val="8"/>
            <color indexed="81"/>
            <rFont val="Tahoma"/>
            <family val="2"/>
          </rPr>
          <t>Uncheck (FALSE) if single.
For married couples, Check TRUE to allocate the state exclusion to a special state QTIP, a Family Trust or outright to the children, with the excess federal exclusion allocated to a Marital Trust, reducing the taxable estate by the state exclusion at the first death?
Example:  IL has a 2m exemption.  Assuming a 10m estate, IL taxable estate reduced by 2m at first death.  Second death only 8m taxable.
This only impacts state estate tax and not state inheritance taxes.</t>
        </r>
      </text>
    </comment>
    <comment ref="F14" authorId="0">
      <text>
        <r>
          <rPr>
            <b/>
            <sz val="8"/>
            <color indexed="10"/>
            <rFont val="Tahoma"/>
            <family val="2"/>
          </rPr>
          <t>Logic Check.</t>
        </r>
        <r>
          <rPr>
            <sz val="8"/>
            <color indexed="81"/>
            <rFont val="Tahoma"/>
            <family val="2"/>
          </rPr>
          <t xml:space="preserve">  </t>
        </r>
        <r>
          <rPr>
            <b/>
            <sz val="8"/>
            <color indexed="10"/>
            <rFont val="Tahoma"/>
            <family val="2"/>
          </rPr>
          <t>ERROR</t>
        </r>
        <r>
          <rPr>
            <sz val="8"/>
            <color indexed="81"/>
            <rFont val="Tahoma"/>
            <family val="2"/>
          </rPr>
          <t xml:space="preserve"> is shown if  (Debts) is entered as a negative on the Additional Input sheet AND/OR (2) if cell D10 is unchecked (False) and cell D14 is checked (True).  
</t>
        </r>
        <r>
          <rPr>
            <b/>
            <sz val="8"/>
            <color indexed="10"/>
            <rFont val="Tahoma"/>
            <family val="2"/>
          </rPr>
          <t>To Correct</t>
        </r>
        <r>
          <rPr>
            <sz val="8"/>
            <color indexed="81"/>
            <rFont val="Tahoma"/>
            <family val="2"/>
          </rPr>
          <t xml:space="preserve">, (1) enter debts as a zero or positive AND/OR (2) uncheck cell D14 (False) </t>
        </r>
        <r>
          <rPr>
            <b/>
            <u/>
            <sz val="8"/>
            <color indexed="81"/>
            <rFont val="Tahoma"/>
            <family val="2"/>
          </rPr>
          <t>or</t>
        </r>
        <r>
          <rPr>
            <sz val="8"/>
            <color indexed="81"/>
            <rFont val="Tahoma"/>
            <family val="2"/>
          </rPr>
          <t xml:space="preserve"> if marrried, check cell D10 (True).</t>
        </r>
      </text>
    </comment>
    <comment ref="I14" authorId="0">
      <text>
        <r>
          <rPr>
            <sz val="8"/>
            <color indexed="81"/>
            <rFont val="Tahoma"/>
            <family val="2"/>
          </rPr>
          <t>Some States exclude certain assets like life insurance or retirement assets.  
Enter a negative amount to exclude from the state "Inheritance" calculation.</t>
        </r>
      </text>
    </comment>
    <comment ref="J14" authorId="0">
      <text>
        <r>
          <rPr>
            <sz val="8"/>
            <color indexed="81"/>
            <rFont val="Tahoma"/>
            <family val="2"/>
          </rPr>
          <t xml:space="preserve">This field allows you to adjust the taxable state value for state inheritance taxes.  </t>
        </r>
        <r>
          <rPr>
            <sz val="8"/>
            <color indexed="10"/>
            <rFont val="Tahoma"/>
            <family val="2"/>
          </rPr>
          <t>ADJUSTMENTS DO NOT IMPACT STATE ESTATE TAXES.</t>
        </r>
        <r>
          <rPr>
            <sz val="8"/>
            <color indexed="81"/>
            <rFont val="Tahoma"/>
            <family val="2"/>
          </rPr>
          <t xml:space="preserve">
</t>
        </r>
        <r>
          <rPr>
            <b/>
            <sz val="8"/>
            <color indexed="81"/>
            <rFont val="Tahoma"/>
            <family val="2"/>
          </rPr>
          <t>Example</t>
        </r>
        <r>
          <rPr>
            <sz val="8"/>
            <color indexed="81"/>
            <rFont val="Tahoma"/>
            <family val="2"/>
          </rPr>
          <t xml:space="preserve"> - States with state inheritance tax may exclude life insurance owned within the estate.  If so, type in a negative death benefit value.</t>
        </r>
      </text>
    </comment>
    <comment ref="A15" authorId="0">
      <text>
        <r>
          <rPr>
            <sz val="8"/>
            <color indexed="81"/>
            <rFont val="Tahoma"/>
            <family val="2"/>
          </rPr>
          <t>States generally allow a 100% exclusion for bequests to a surviving spouse.  This calculator is only looking at non spouse beneficiaries of which there can be 3 classes.  These classifications are a little general in nature.  All the states vary a bit.
1 - Children, Step-children, Grandchildren
2 - Siblings, Nieces, Nephews
3 - Others (non family)</t>
        </r>
      </text>
    </comment>
    <comment ref="D15" authorId="0">
      <text>
        <r>
          <rPr>
            <sz val="8"/>
            <color indexed="81"/>
            <rFont val="Tahoma"/>
            <family val="2"/>
          </rPr>
          <t>Generally,</t>
        </r>
        <r>
          <rPr>
            <b/>
            <sz val="8"/>
            <color indexed="81"/>
            <rFont val="Tahoma"/>
            <family val="2"/>
          </rPr>
          <t xml:space="preserve"> INPUT</t>
        </r>
        <r>
          <rPr>
            <sz val="8"/>
            <color indexed="81"/>
            <rFont val="Tahoma"/>
            <family val="2"/>
          </rPr>
          <t xml:space="preserve"> </t>
        </r>
        <r>
          <rPr>
            <b/>
            <sz val="8"/>
            <color indexed="10"/>
            <rFont val="Tahoma"/>
            <family val="2"/>
          </rPr>
          <t>1</t>
        </r>
        <r>
          <rPr>
            <sz val="8"/>
            <color indexed="81"/>
            <rFont val="Tahoma"/>
            <family val="2"/>
          </rPr>
          <t xml:space="preserve"> for distributions to lineal decedants (children, grandchildren, parents), </t>
        </r>
        <r>
          <rPr>
            <b/>
            <sz val="8"/>
            <color indexed="81"/>
            <rFont val="Tahoma"/>
            <family val="2"/>
          </rPr>
          <t>INPUT</t>
        </r>
        <r>
          <rPr>
            <sz val="8"/>
            <color indexed="81"/>
            <rFont val="Tahoma"/>
            <family val="2"/>
          </rPr>
          <t xml:space="preserve"> </t>
        </r>
        <r>
          <rPr>
            <b/>
            <sz val="8"/>
            <color indexed="10"/>
            <rFont val="Tahoma"/>
            <family val="2"/>
          </rPr>
          <t>2</t>
        </r>
        <r>
          <rPr>
            <sz val="8"/>
            <color indexed="81"/>
            <rFont val="Tahoma"/>
            <family val="2"/>
          </rPr>
          <t xml:space="preserve"> for distributions to siblings, brother/sister in-laws, </t>
        </r>
        <r>
          <rPr>
            <b/>
            <sz val="8"/>
            <color indexed="81"/>
            <rFont val="Tahoma"/>
            <family val="2"/>
          </rPr>
          <t>INPUT</t>
        </r>
        <r>
          <rPr>
            <sz val="8"/>
            <color indexed="81"/>
            <rFont val="Tahoma"/>
            <family val="2"/>
          </rPr>
          <t xml:space="preserve"> </t>
        </r>
        <r>
          <rPr>
            <b/>
            <sz val="8"/>
            <color indexed="10"/>
            <rFont val="Tahoma"/>
            <family val="2"/>
          </rPr>
          <t>3</t>
        </r>
        <r>
          <rPr>
            <sz val="8"/>
            <color indexed="81"/>
            <rFont val="Tahoma"/>
            <family val="2"/>
          </rPr>
          <t xml:space="preserve"> for all others.</t>
        </r>
      </text>
    </comment>
    <comment ref="H18" authorId="1">
      <text>
        <r>
          <rPr>
            <sz val="8"/>
            <color indexed="81"/>
            <rFont val="Tahoma"/>
            <family val="2"/>
          </rPr>
          <t>Generally make sure years of gifts covers years of premiums.</t>
        </r>
      </text>
    </comment>
    <comment ref="A19" authorId="0">
      <text>
        <r>
          <rPr>
            <sz val="8"/>
            <color indexed="81"/>
            <rFont val="Tahoma"/>
            <family val="2"/>
          </rPr>
          <t xml:space="preserve">Maximum annual exclusion gifts will increase every few years with inflation.  Currently  in 2013, $14,000 can be gifted to each beneficiary by each parent.  The maximum is rounded "down" to the nearest $1,000.
If entering an ALTERNATE AMOUNT, this worksheet does not adjust for inflation.  Only a level amount can be entered for a set number of years.  Gifts automatically stop at mortality which is input on the Additional Input sheet (hidden).  # of Gifts is only used if a level gift is imput.  If Maximize is checked TRUE, gifts are made for ALL years.
</t>
        </r>
        <r>
          <rPr>
            <b/>
            <sz val="8"/>
            <color indexed="10"/>
            <rFont val="Tahoma"/>
            <family val="2"/>
          </rPr>
          <t>NOTE</t>
        </r>
        <r>
          <rPr>
            <sz val="8"/>
            <color indexed="81"/>
            <rFont val="Tahoma"/>
            <family val="2"/>
          </rPr>
          <t xml:space="preserve"> - TAXABLE gifts are beyond the scope of this calculator.  Robert Karl has a more advanced Estate Tax Calculator which can illustrate taxable gifts and other enhancements identified within the LIMITATION Bubble Help above.</t>
        </r>
      </text>
    </comment>
    <comment ref="H20" authorId="1">
      <text>
        <r>
          <rPr>
            <b/>
            <sz val="8"/>
            <color indexed="81"/>
            <rFont val="Tahoma"/>
            <family val="2"/>
          </rPr>
          <t xml:space="preserve">Formula. </t>
        </r>
        <r>
          <rPr>
            <sz val="8"/>
            <color indexed="81"/>
            <rFont val="Tahoma"/>
            <family val="2"/>
          </rPr>
          <t xml:space="preserve"> OK to override formula but better to input age in field below.  Policy input is disregarded if New Ins checkbox is FALSE.</t>
        </r>
      </text>
    </comment>
    <comment ref="J21" authorId="1">
      <text>
        <r>
          <rPr>
            <sz val="8"/>
            <color indexed="81"/>
            <rFont val="Tahoma"/>
            <family val="2"/>
          </rPr>
          <t>Gifts must be sufficient to cover premiums; AND
If Maximize is not used (checked TRUE), make sure the # of gifts is equal to or greater than the # of premium payments.
Gifts and premiums automatically stop at mortality.  You can enter more years than mortality, like 99 or 121-Age.</t>
        </r>
      </text>
    </comment>
    <comment ref="A22" authorId="1">
      <text>
        <r>
          <rPr>
            <sz val="8"/>
            <color indexed="81"/>
            <rFont val="Tahoma"/>
            <family val="2"/>
          </rPr>
          <t>Don't project longer than mortality.  ERROR occurs if beyond mortality.  See Additional Input sheet (hidden) for mortality.  Mortality default = Age 90.  Reduce projection years or unhide Additional Input sheet and extend mortality.</t>
        </r>
      </text>
    </comment>
    <comment ref="I22" authorId="0">
      <text>
        <r>
          <rPr>
            <sz val="8"/>
            <color indexed="81"/>
            <rFont val="Tahoma"/>
            <family val="2"/>
          </rPr>
          <t xml:space="preserve">All post 1976 taxable gifts are assumed added back to the taxable estate for federal and state purposes.  Taxable gifts represent all gifts that do NOT qualify for the annual exclusion amount, currently $14,000 in 2013, as indexed for inflation.  Gifts to a U.S. citizen spouse are unlimited and should not be entered here.
If married, since both spouses are assumed to die in the same year without growth between their deaths, enter both spouse's post 1976 taxable gifts together.
ADDITIONAL TAXABLE GIFTS - To illustrate additional taxable gifts, reduce the assets above by the amount of the proposed taxable gifts </t>
        </r>
        <r>
          <rPr>
            <u/>
            <sz val="8"/>
            <color indexed="81"/>
            <rFont val="Tahoma"/>
            <family val="2"/>
          </rPr>
          <t>and</t>
        </r>
        <r>
          <rPr>
            <sz val="8"/>
            <color indexed="81"/>
            <rFont val="Tahoma"/>
            <family val="2"/>
          </rPr>
          <t xml:space="preserve"> add the proposed taxable gift amount here as a prior taxable gift, as if given yesterday.  
Generally, states do not tax gifts, because they tend to be included in the state estate tax value at death.  This worksheet includes all post 1976 taxable gifts within the state estate tax calculation at death.
</t>
        </r>
        <r>
          <rPr>
            <b/>
            <sz val="8"/>
            <color indexed="10"/>
            <rFont val="Tahoma"/>
            <family val="2"/>
          </rPr>
          <t xml:space="preserve">NOTE </t>
        </r>
        <r>
          <rPr>
            <sz val="8"/>
            <color indexed="81"/>
            <rFont val="Tahoma"/>
            <family val="2"/>
          </rPr>
          <t>- Gifts in excess of the applicable exclusion amount, that trigger the payment of gift tax are beyond the scope of this worksheet.</t>
        </r>
      </text>
    </comment>
    <comment ref="A24" authorId="0">
      <text>
        <r>
          <rPr>
            <sz val="8"/>
            <color indexed="81"/>
            <rFont val="Tahoma"/>
            <family val="2"/>
          </rPr>
          <t>Taxable Estate includes:
 - Assets
 - Less Debts
 - Plus Life Ins in Estate
 - Less Annual Exclusion Gifts
 - Plus Prior Taxable Gifts</t>
        </r>
      </text>
    </comment>
    <comment ref="A29" authorId="1">
      <text>
        <r>
          <rPr>
            <sz val="8"/>
            <color indexed="81"/>
            <rFont val="Tahoma"/>
            <family val="2"/>
          </rPr>
          <t>The new law indexes the Applicable Exclusion Amount for inflation beginning after 2011.
To assume a continued index for inflation of the applicable exclusion amount, enter an inflation rate of 2% or 3%.</t>
        </r>
      </text>
    </comment>
    <comment ref="V32" authorId="0">
      <text>
        <r>
          <rPr>
            <sz val="8"/>
            <color indexed="81"/>
            <rFont val="Tahoma"/>
            <family val="2"/>
          </rPr>
          <t xml:space="preserve">THE SUNSET HAS BEEN PERMANENTLY REPEALTED.
This is for "historical" comparison and does not print.
Assuming the sunset of the federal law, the state calculations also are assumed to sunset and revert back to picking up the State Death Tax Credit amount.
</t>
        </r>
      </text>
    </comment>
    <comment ref="D34" authorId="0">
      <text>
        <r>
          <rPr>
            <b/>
            <sz val="8"/>
            <color indexed="10"/>
            <rFont val="Tahoma"/>
            <family val="2"/>
          </rPr>
          <t xml:space="preserve">Update in 2013 </t>
        </r>
        <r>
          <rPr>
            <sz val="8"/>
            <color indexed="81"/>
            <rFont val="Tahoma"/>
            <family val="2"/>
          </rPr>
          <t>- Adjust Current Year and actual 2013 Applicable Exclusion Amount on hidden worksheet TaxTables.  Right click mouse on worksheet tabs to find hidden sheets.</t>
        </r>
      </text>
    </comment>
    <comment ref="B35" authorId="0">
      <text>
        <r>
          <rPr>
            <sz val="8"/>
            <color indexed="81"/>
            <rFont val="Tahoma"/>
            <family val="2"/>
          </rPr>
          <t>Projected Gross Estate = 
 + Projected Net Worth
 + Projected Life Insurance in the Estate 
  - Annual exclusion gifts 
 + Post 1976 Taxable Gifts.</t>
        </r>
      </text>
    </comment>
    <comment ref="L35" authorId="0">
      <text>
        <r>
          <rPr>
            <sz val="8"/>
            <color indexed="81"/>
            <rFont val="Tahoma"/>
            <family val="2"/>
          </rPr>
          <t>Projected Limitation of years, if projected input years is less than 2013, the middle and right calculations are forced to 2013.  IF E19 is input zero, projected year will default to one year later.</t>
        </r>
      </text>
    </comment>
    <comment ref="B36" authorId="1">
      <text>
        <r>
          <rPr>
            <b/>
            <sz val="8"/>
            <color indexed="81"/>
            <rFont val="Tahoma"/>
            <family val="2"/>
          </rPr>
          <t>IRD</t>
        </r>
        <r>
          <rPr>
            <sz val="8"/>
            <color indexed="81"/>
            <rFont val="Tahoma"/>
            <family val="2"/>
          </rPr>
          <t xml:space="preserve"> = qualified retirement assets.</t>
        </r>
      </text>
    </comment>
    <comment ref="B37" authorId="0">
      <text>
        <r>
          <rPr>
            <sz val="8"/>
            <color indexed="81"/>
            <rFont val="Tahoma"/>
            <family val="2"/>
          </rPr>
          <t>If Married using 2 Applicable Exclusions is checked TRUE, the Applicable Exclusion reduces the taxable estate.  If it is not checked or single, taxable estate is not reduced.  Credit is used at 2nd death or death if single.
In 2013, you can update the applicabl e exclusion amount on the hidden TaxTables sheet.</t>
        </r>
      </text>
    </comment>
    <comment ref="B38" authorId="0">
      <text>
        <r>
          <rPr>
            <sz val="8"/>
            <color indexed="81"/>
            <rFont val="Tahoma"/>
            <family val="2"/>
          </rPr>
          <t>If married, the gross estate is reduced by the above applicable exclusion.  If single, this amount is the same as the gross estate.</t>
        </r>
      </text>
    </comment>
    <comment ref="F38" authorId="0">
      <text>
        <r>
          <rPr>
            <sz val="8"/>
            <color indexed="81"/>
            <rFont val="Tahoma"/>
            <family val="2"/>
          </rPr>
          <t>% based on total estate.</t>
        </r>
      </text>
    </comment>
    <comment ref="B39" authorId="0">
      <text>
        <r>
          <rPr>
            <sz val="8"/>
            <color indexed="81"/>
            <rFont val="Tahoma"/>
            <family val="2"/>
          </rPr>
          <t>State Estate Tax calculated on the Gross Estate, if applicable and are deductible against the federal estate taxes.</t>
        </r>
      </text>
    </comment>
    <comment ref="L39" authorId="0">
      <text>
        <r>
          <rPr>
            <sz val="8"/>
            <color indexed="81"/>
            <rFont val="Tahoma"/>
            <family val="2"/>
          </rPr>
          <t xml:space="preserve">Projected Pickup state Credit amount.
</t>
        </r>
      </text>
    </comment>
    <comment ref="M39" authorId="0">
      <text>
        <r>
          <rPr>
            <sz val="8"/>
            <color indexed="81"/>
            <rFont val="Tahoma"/>
            <family val="2"/>
          </rPr>
          <t>Net federal tax before any state death tax credit.</t>
        </r>
      </text>
    </comment>
    <comment ref="N39" authorId="0">
      <text>
        <r>
          <rPr>
            <sz val="8"/>
            <color indexed="81"/>
            <rFont val="Tahoma"/>
            <family val="2"/>
          </rPr>
          <t>Net State Death Tax Credit, reduced by federal taxes limitation.</t>
        </r>
      </text>
    </comment>
    <comment ref="O39" authorId="0">
      <text>
        <r>
          <rPr>
            <sz val="8"/>
            <color indexed="81"/>
            <rFont val="Tahoma"/>
            <family val="2"/>
          </rPr>
          <t>State Credit limitation (reduced by federal tax and Min of actual state tax (if no pickup) and state death tax credit.</t>
        </r>
      </text>
    </comment>
    <comment ref="B40" authorId="0">
      <text>
        <r>
          <rPr>
            <sz val="8"/>
            <color indexed="81"/>
            <rFont val="Tahoma"/>
            <family val="2"/>
          </rPr>
          <t>State Inheritance Tax calculated on the Gross Estate, if applicable.</t>
        </r>
      </text>
    </comment>
    <comment ref="B41" authorId="0">
      <text>
        <r>
          <rPr>
            <sz val="8"/>
            <color indexed="10"/>
            <rFont val="Tahoma"/>
            <family val="2"/>
          </rPr>
          <t>State taxes are deductible.</t>
        </r>
        <r>
          <rPr>
            <sz val="8"/>
            <color indexed="81"/>
            <rFont val="Tahoma"/>
            <family val="2"/>
          </rPr>
          <t xml:space="preserve">  The above federal table is used to calculate the federal tax for this scenario.  The tax on an estate above the $1,000,000 is a FLAT 40%.</t>
        </r>
      </text>
    </comment>
    <comment ref="B42" authorId="0">
      <text>
        <r>
          <rPr>
            <sz val="8"/>
            <color indexed="81"/>
            <rFont val="Tahoma"/>
            <family val="2"/>
          </rPr>
          <t>This is limited to the federal estate tax or the equivalent of the tax on 1 applicable exclusion amount.</t>
        </r>
      </text>
    </comment>
    <comment ref="B44" authorId="0">
      <text>
        <r>
          <rPr>
            <sz val="8"/>
            <color indexed="81"/>
            <rFont val="Tahoma"/>
            <family val="2"/>
          </rPr>
          <t>IRD is the income on qualified assets.  See the Additional Input sheet for input of qualified assets.</t>
        </r>
      </text>
    </comment>
    <comment ref="L54" authorId="0">
      <text>
        <r>
          <rPr>
            <sz val="8"/>
            <color indexed="81"/>
            <rFont val="Tahoma"/>
            <family val="2"/>
          </rPr>
          <t xml:space="preserve">Projected Pickup state Credit amount.
</t>
        </r>
      </text>
    </comment>
    <comment ref="M54" authorId="0">
      <text>
        <r>
          <rPr>
            <sz val="8"/>
            <color indexed="81"/>
            <rFont val="Tahoma"/>
            <family val="2"/>
          </rPr>
          <t>Net federal tax before any state death tax credit.</t>
        </r>
      </text>
    </comment>
    <comment ref="N54" authorId="0">
      <text>
        <r>
          <rPr>
            <sz val="8"/>
            <color indexed="81"/>
            <rFont val="Tahoma"/>
            <family val="2"/>
          </rPr>
          <t>Net State Death Tax Credit, reduced by federal taxes limitation.</t>
        </r>
      </text>
    </comment>
    <comment ref="O54" authorId="0">
      <text>
        <r>
          <rPr>
            <sz val="8"/>
            <color indexed="81"/>
            <rFont val="Tahoma"/>
            <family val="2"/>
          </rPr>
          <t>State Credit limitation (reduced by federal tax and Min of actual state tax (if no pickup) and state death tax credit.</t>
        </r>
      </text>
    </comment>
    <comment ref="L57" authorId="0">
      <text>
        <r>
          <rPr>
            <sz val="8"/>
            <color indexed="81"/>
            <rFont val="Tahoma"/>
            <family val="2"/>
          </rPr>
          <t xml:space="preserve">Projected Pickup state Credit amount.
</t>
        </r>
      </text>
    </comment>
    <comment ref="M57" authorId="0">
      <text>
        <r>
          <rPr>
            <sz val="8"/>
            <color indexed="81"/>
            <rFont val="Tahoma"/>
            <family val="2"/>
          </rPr>
          <t>Net federal tax before any state death tax credit.</t>
        </r>
      </text>
    </comment>
    <comment ref="N57" authorId="0">
      <text>
        <r>
          <rPr>
            <sz val="8"/>
            <color indexed="81"/>
            <rFont val="Tahoma"/>
            <family val="2"/>
          </rPr>
          <t>Net State Death Tax Credit, reduced by federal taxes limitation.</t>
        </r>
      </text>
    </comment>
    <comment ref="O57" authorId="0">
      <text>
        <r>
          <rPr>
            <sz val="8"/>
            <color indexed="81"/>
            <rFont val="Tahoma"/>
            <family val="2"/>
          </rPr>
          <t xml:space="preserve">State Credit limitation (reduced by federal tax and Min of actual state tax (if no pickup) and state death tax credit.
</t>
        </r>
        <r>
          <rPr>
            <b/>
            <sz val="8"/>
            <color indexed="10"/>
            <rFont val="Tahoma"/>
            <family val="2"/>
          </rPr>
          <t>NOTE:</t>
        </r>
        <r>
          <rPr>
            <sz val="8"/>
            <color indexed="81"/>
            <rFont val="Tahoma"/>
            <family val="2"/>
          </rPr>
          <t xml:space="preserve">  No State Pickup limitation calculated without IRD.</t>
        </r>
      </text>
    </comment>
  </commentList>
</comments>
</file>

<file path=xl/comments2.xml><?xml version="1.0" encoding="utf-8"?>
<comments xmlns="http://schemas.openxmlformats.org/spreadsheetml/2006/main">
  <authors>
    <author>X044507</author>
  </authors>
  <commentList>
    <comment ref="N4" authorId="0">
      <text>
        <r>
          <rPr>
            <b/>
            <sz val="10"/>
            <color indexed="10"/>
            <rFont val="Tahoma"/>
            <family val="2"/>
          </rPr>
          <t>HELP</t>
        </r>
        <r>
          <rPr>
            <b/>
            <sz val="10"/>
            <color indexed="81"/>
            <rFont val="Tahoma"/>
            <family val="2"/>
          </rPr>
          <t xml:space="preserve"> - Contact Robert Karl, CPA*  </t>
        </r>
        <r>
          <rPr>
            <sz val="10"/>
            <color indexed="81"/>
            <rFont val="Tahoma"/>
            <family val="2"/>
          </rPr>
          <t>(Author)</t>
        </r>
        <r>
          <rPr>
            <b/>
            <sz val="10"/>
            <color indexed="81"/>
            <rFont val="Tahoma"/>
            <family val="2"/>
          </rPr>
          <t xml:space="preserve">
robert.karl@ prudential.com   work # 973-802-7338.
</t>
        </r>
        <r>
          <rPr>
            <b/>
            <sz val="10"/>
            <color indexed="10"/>
            <rFont val="Tahoma"/>
            <family val="2"/>
          </rPr>
          <t xml:space="preserve">Updates </t>
        </r>
        <r>
          <rPr>
            <b/>
            <sz val="10"/>
            <color indexed="81"/>
            <rFont val="Tahoma"/>
            <family val="2"/>
          </rPr>
          <t xml:space="preserve">- </t>
        </r>
        <r>
          <rPr>
            <sz val="10"/>
            <color indexed="81"/>
            <rFont val="Tahoma"/>
            <family val="2"/>
          </rPr>
          <t xml:space="preserve">Be aware to look for more frequent updates  to this worksheet, as legislation has been fluid. </t>
        </r>
        <r>
          <rPr>
            <b/>
            <sz val="10"/>
            <color indexed="81"/>
            <rFont val="Tahoma"/>
            <family val="2"/>
          </rPr>
          <t xml:space="preserve">
</t>
        </r>
        <r>
          <rPr>
            <b/>
            <sz val="10"/>
            <color indexed="10"/>
            <rFont val="Tahoma"/>
            <family val="2"/>
          </rPr>
          <t>Update in 2013 -</t>
        </r>
        <r>
          <rPr>
            <b/>
            <sz val="10"/>
            <color indexed="81"/>
            <rFont val="Tahoma"/>
            <family val="2"/>
          </rPr>
          <t xml:space="preserve"> In 2013, a</t>
        </r>
        <r>
          <rPr>
            <sz val="10"/>
            <color indexed="81"/>
            <rFont val="Tahoma"/>
            <family val="2"/>
          </rPr>
          <t xml:space="preserve">djust the Current Year to 2013 and the actual 2013 Applicable Exclusion Amount on a hidden sheet called </t>
        </r>
        <r>
          <rPr>
            <b/>
            <sz val="10"/>
            <color indexed="81"/>
            <rFont val="Tahoma"/>
            <family val="2"/>
          </rPr>
          <t>TaxTables.</t>
        </r>
        <r>
          <rPr>
            <sz val="10"/>
            <color indexed="81"/>
            <rFont val="Tahoma"/>
            <family val="2"/>
          </rPr>
          <t xml:space="preserve">  Right click your mouse on any sheet tab at the bottom of your screen to find the hidden sheets.</t>
        </r>
        <r>
          <rPr>
            <b/>
            <sz val="10"/>
            <color indexed="81"/>
            <rFont val="Tahoma"/>
            <family val="2"/>
          </rPr>
          <t xml:space="preserve">
Entering Data</t>
        </r>
        <r>
          <rPr>
            <sz val="10"/>
            <color indexed="81"/>
            <rFont val="Tahoma"/>
            <family val="2"/>
          </rPr>
          <t xml:space="preserve"> - RED fields are variable input fields.  If you want to enter multiple numbers in a single cell, type an equals sign first, then the first #, then a + symbol, then the next # and so on.  Also, use an average growth rate for the asset class. 
</t>
        </r>
        <r>
          <rPr>
            <b/>
            <sz val="10"/>
            <color indexed="81"/>
            <rFont val="Tahoma"/>
            <family val="2"/>
          </rPr>
          <t>To Print</t>
        </r>
        <r>
          <rPr>
            <sz val="10"/>
            <color indexed="81"/>
            <rFont val="Tahoma"/>
            <family val="2"/>
          </rPr>
          <t xml:space="preserve"> - click the Office Button (upper left corner of  screen); click Print; select printer; change default (Print What) to Entire Workbook; click OK.
</t>
        </r>
        <r>
          <rPr>
            <b/>
            <sz val="10"/>
            <color indexed="81"/>
            <rFont val="Tahoma"/>
            <family val="2"/>
          </rPr>
          <t>Fact Sheet</t>
        </r>
        <r>
          <rPr>
            <sz val="10"/>
            <color indexed="81"/>
            <rFont val="Tahoma"/>
            <family val="2"/>
          </rPr>
          <t xml:space="preserve"> - This sheet is designed for requesting a Gifting Analysis presentation from Prudential's Advanced Marketing group.
</t>
        </r>
        <r>
          <rPr>
            <b/>
            <sz val="10"/>
            <color indexed="81"/>
            <rFont val="Tahoma"/>
            <family val="2"/>
          </rPr>
          <t>Hiding a Sheet</t>
        </r>
        <r>
          <rPr>
            <sz val="10"/>
            <color indexed="81"/>
            <rFont val="Tahoma"/>
            <family val="2"/>
          </rPr>
          <t xml:space="preserve"> -  If a sheet is not needed, you can hide them.  To hide a sheet, right click on the sheet tab and select Hide.  You can also Unhide them after their hidden by clicking on any visible sheet tab and clicking Unhide from the popup list.
</t>
        </r>
        <r>
          <rPr>
            <b/>
            <sz val="10"/>
            <color indexed="81"/>
            <rFont val="Tahoma"/>
            <family val="2"/>
          </rPr>
          <t>*</t>
        </r>
        <r>
          <rPr>
            <sz val="10"/>
            <color indexed="81"/>
            <rFont val="Tahoma"/>
            <family val="2"/>
          </rPr>
          <t xml:space="preserve"> Does not represent Prudential in the practice of accountancy.</t>
        </r>
      </text>
    </comment>
    <comment ref="A9" authorId="0">
      <text>
        <r>
          <rPr>
            <sz val="10"/>
            <color indexed="81"/>
            <rFont val="Tahoma"/>
            <family val="2"/>
          </rPr>
          <t>If Client is single, delete the spouse input field.  Don't enter zero.  ALSO, uncheck Married and uncheck the State QTIP on the previous screen Calculator.</t>
        </r>
      </text>
    </comment>
    <comment ref="A10" authorId="0">
      <text>
        <r>
          <rPr>
            <sz val="10"/>
            <color indexed="81"/>
            <rFont val="Tahoma"/>
            <family val="2"/>
          </rPr>
          <t>Retirement is assumed based on the client's retirement age.  If both spouses are working and will retire in different calender years, use an average.  Generally, earned income should be entered together as retirement contribution percentages are based on the Earned Income amount.  If the spouse is working  and not contributing to a retirement plan, the spouse's income can be separately entered as Other Income.  Retirement contribution amounts can also be overridden, if the percentage input doesn't work well.</t>
        </r>
      </text>
    </comment>
    <comment ref="A11" authorId="0">
      <text>
        <r>
          <rPr>
            <sz val="10"/>
            <color indexed="81"/>
            <rFont val="Tahoma"/>
            <family val="2"/>
          </rPr>
          <t>Retirement is assumed based on the client's retirement age.  If both spouses are working and will retire in different calender years, use an average.  Generally, earned income should be entered together as retirement contribution percentages are based on the Earned Income amount.  If the spouse is working  and not contributing to a retirement plan, the spouse's income can be separately entered as Other Income.  Retirement contribution amounts can also be overridden, if the percentage input doesn't work well.</t>
        </r>
      </text>
    </comment>
    <comment ref="N13" authorId="0">
      <text>
        <r>
          <rPr>
            <b/>
            <sz val="8"/>
            <color indexed="10"/>
            <rFont val="Tahoma"/>
            <family val="2"/>
          </rPr>
          <t>Unlocked.</t>
        </r>
        <r>
          <rPr>
            <sz val="8"/>
            <color indexed="81"/>
            <rFont val="Tahoma"/>
            <family val="2"/>
          </rPr>
          <t xml:space="preserve">  Input Current Year.
</t>
        </r>
      </text>
    </comment>
    <comment ref="O13" authorId="0">
      <text>
        <r>
          <rPr>
            <b/>
            <sz val="8"/>
            <color indexed="10"/>
            <rFont val="Tahoma"/>
            <family val="2"/>
          </rPr>
          <t>Unlocked.</t>
        </r>
        <r>
          <rPr>
            <sz val="8"/>
            <color indexed="81"/>
            <rFont val="Tahoma"/>
            <family val="2"/>
          </rPr>
          <t xml:space="preserve">  Input actual Applicable Exclusion Amount.</t>
        </r>
      </text>
    </comment>
    <comment ref="A18" authorId="0">
      <text>
        <r>
          <rPr>
            <sz val="10"/>
            <color indexed="81"/>
            <rFont val="Tahoma"/>
            <family val="2"/>
          </rPr>
          <t xml:space="preserve">Annual debt payments added to spending until fully amortized.
</t>
        </r>
      </text>
    </comment>
    <comment ref="A20" authorId="0">
      <text>
        <r>
          <rPr>
            <sz val="10"/>
            <color indexed="81"/>
            <rFont val="Tahoma"/>
            <family val="2"/>
          </rPr>
          <t>Maximum annual exclusion gifts will increase every few years with inflation.  Currently  in 2012,$13,000 can be gifted to each beneficiary by each parent.  In 2013, the maximum is expected to increase to 14,000.  The maximum is rounded "down" to the nearest $1,000.
This worksheet does not adjust for inflation.  Only a level amount can be entered for a set number of years.</t>
        </r>
      </text>
    </comment>
    <comment ref="A21" authorId="0">
      <text>
        <r>
          <rPr>
            <sz val="10"/>
            <color indexed="81"/>
            <rFont val="Tahoma"/>
            <family val="2"/>
          </rPr>
          <t xml:space="preserve">All post 1976 taxable gifts are assumed added back to the taxable estate for federal and state purposes.  Taxable gifts represent all gifts that do NOT qualify for the annual exclusion amount, currently $14,000 in 2014, as indexed for inflation.  Gifts to a U.S. citizen spouse are unlimited and should not be entered here.
If married, since both spouses are assumed to die in the same year without growth between their deaths, enter both spouse's post 1976 taxable gifts together.
</t>
        </r>
        <r>
          <rPr>
            <b/>
            <sz val="10"/>
            <color indexed="81"/>
            <rFont val="Tahoma"/>
            <family val="2"/>
          </rPr>
          <t>TO ENTER ADDITIONAL TAXABLE GIFTS</t>
        </r>
        <r>
          <rPr>
            <sz val="10"/>
            <color indexed="81"/>
            <rFont val="Tahoma"/>
            <family val="2"/>
          </rPr>
          <t xml:space="preserve"> - To illustrate addtional taxable gifts, reduce the assets above by the amount of the gifts and add the gift amount here as a prior taxable gift, as if given yesterday.  
No adjustment is available for prior gift taxes paid, as that is beyond the scope of this worksheet.
Generally, states do not tax gifts, because they tend to be included in the state taxable value at death.  There are a few states that do tax gifts.  This worksheet includes all post 1976 taxable gifts within the state tax calculation at death.
Gifts in excess of the applicable exclusion amount and the payment of gift taxes are beyond the scope of this worksheet.</t>
        </r>
      </text>
    </comment>
    <comment ref="A26" authorId="0">
      <text>
        <r>
          <rPr>
            <sz val="10"/>
            <color indexed="81"/>
            <rFont val="Tahoma"/>
            <family val="2"/>
          </rPr>
          <t>Do not Cut &amp; Paste these input fields, as it will damage the formulas.  You can Copy and Paste.  Combine cash and other marketable securities into one amount, and use an average rate.  You can enter multiple assets by typing = number + number, etc, and then finishing by hitting ENTER.</t>
        </r>
      </text>
    </comment>
    <comment ref="D29" authorId="0">
      <text>
        <r>
          <rPr>
            <sz val="10"/>
            <color indexed="81"/>
            <rFont val="Tahoma"/>
            <family val="2"/>
          </rPr>
          <t xml:space="preserve">Input as a </t>
        </r>
        <r>
          <rPr>
            <b/>
            <sz val="10"/>
            <color indexed="10"/>
            <rFont val="Tahoma"/>
            <family val="2"/>
          </rPr>
          <t xml:space="preserve">POSITIVE </t>
        </r>
        <r>
          <rPr>
            <sz val="10"/>
            <color indexed="81"/>
            <rFont val="Tahoma"/>
            <family val="2"/>
          </rPr>
          <t>amount.</t>
        </r>
      </text>
    </comment>
    <comment ref="H29" authorId="0">
      <text>
        <r>
          <rPr>
            <sz val="10"/>
            <color indexed="81"/>
            <rFont val="Tahoma"/>
            <family val="2"/>
          </rPr>
          <t>Input # of remaining years.  Calculations adjusted to monthly payments.</t>
        </r>
      </text>
    </comment>
    <comment ref="A35" authorId="0">
      <text>
        <r>
          <rPr>
            <sz val="10"/>
            <color indexed="81"/>
            <rFont val="Tahoma"/>
            <family val="2"/>
          </rPr>
          <t>Taxable income from today thru retirement.  Years are automatically calculated to retirement, which can be overridden above.</t>
        </r>
      </text>
    </comment>
    <comment ref="D35" authorId="0">
      <text>
        <r>
          <rPr>
            <sz val="8"/>
            <color indexed="81"/>
            <rFont val="Tahoma"/>
            <family val="2"/>
          </rPr>
          <t xml:space="preserve">Income is carried to retirement. </t>
        </r>
      </text>
    </comment>
    <comment ref="K35" authorId="0">
      <text>
        <r>
          <rPr>
            <sz val="10"/>
            <color indexed="81"/>
            <rFont val="Tahoma"/>
            <family val="2"/>
          </rPr>
          <t>Automatic Formula to retirement, if you don't override it.  Formula lost once overridden.  So save worksheet with custom name, if overridden.</t>
        </r>
      </text>
    </comment>
    <comment ref="A36" authorId="0">
      <text>
        <r>
          <rPr>
            <sz val="10"/>
            <color indexed="81"/>
            <rFont val="Tahoma"/>
            <family val="2"/>
          </rPr>
          <t>Other taxable income with can continue from today thru mortality.</t>
        </r>
      </text>
    </comment>
    <comment ref="K36" authorId="0">
      <text>
        <r>
          <rPr>
            <sz val="10"/>
            <color indexed="81"/>
            <rFont val="Tahoma"/>
            <family val="2"/>
          </rPr>
          <t>Automatic Formula to mortality, if you don't override it.  Add one additional year to show through all years, because income starts in year zero.  Formula lost once overridden.  So save worksheet with custom name, if overridden.</t>
        </r>
      </text>
    </comment>
    <comment ref="A37" authorId="0">
      <text>
        <r>
          <rPr>
            <sz val="10"/>
            <color indexed="81"/>
            <rFont val="Tahoma"/>
            <family val="2"/>
          </rPr>
          <t xml:space="preserve">Taxable retirement income starts at retirement and goes through mortality with or without inflation.  
</t>
        </r>
        <r>
          <rPr>
            <b/>
            <sz val="10"/>
            <color indexed="81"/>
            <rFont val="Tahoma"/>
            <family val="2"/>
          </rPr>
          <t>Examples:</t>
        </r>
        <r>
          <rPr>
            <sz val="10"/>
            <color indexed="81"/>
            <rFont val="Tahoma"/>
            <family val="2"/>
          </rPr>
          <t xml:space="preserve">  Social Security, qualified pensions, deferred compensation, business installment sales).  
</t>
        </r>
        <r>
          <rPr>
            <b/>
            <sz val="10"/>
            <color indexed="81"/>
            <rFont val="Tahoma"/>
            <family val="2"/>
          </rPr>
          <t xml:space="preserve">Max SS:  </t>
        </r>
        <r>
          <rPr>
            <sz val="10"/>
            <color indexed="81"/>
            <rFont val="Tahoma"/>
            <family val="2"/>
          </rPr>
          <t>30,000 + 50% spousal benefit = 15,000</t>
        </r>
      </text>
    </comment>
    <comment ref="F37" authorId="0">
      <text>
        <r>
          <rPr>
            <sz val="10"/>
            <color indexed="81"/>
            <rFont val="Tahoma"/>
            <family val="2"/>
          </rPr>
          <t>Automatic Formula to year after retirement, if you don't override it.  Formula lost once overridden.  So save worksheet with custom name, if overridden.</t>
        </r>
      </text>
    </comment>
    <comment ref="J37" authorId="0">
      <text>
        <r>
          <rPr>
            <sz val="10"/>
            <color indexed="81"/>
            <rFont val="Tahoma"/>
            <family val="2"/>
          </rPr>
          <t xml:space="preserve">Taxable retirement income starts at retirement and goes through mortality with or without inflation.  </t>
        </r>
        <r>
          <rPr>
            <b/>
            <sz val="10"/>
            <color indexed="81"/>
            <rFont val="Tahoma"/>
            <family val="2"/>
          </rPr>
          <t>Examples:</t>
        </r>
        <r>
          <rPr>
            <sz val="10"/>
            <color indexed="81"/>
            <rFont val="Tahoma"/>
            <family val="2"/>
          </rPr>
          <t xml:space="preserve">  Social Security, qualified pensions, deferred compensation, business installment sales).  </t>
        </r>
        <r>
          <rPr>
            <b/>
            <sz val="10"/>
            <color indexed="81"/>
            <rFont val="Tahoma"/>
            <family val="2"/>
          </rPr>
          <t xml:space="preserve">Max SS:  </t>
        </r>
        <r>
          <rPr>
            <sz val="10"/>
            <color indexed="81"/>
            <rFont val="Tahoma"/>
            <family val="2"/>
          </rPr>
          <t>30,000 + 50% spousal benefit = 15,000</t>
        </r>
      </text>
    </comment>
    <comment ref="B39" authorId="0">
      <text>
        <r>
          <rPr>
            <sz val="10"/>
            <color indexed="81"/>
            <rFont val="Tahoma"/>
            <family val="2"/>
          </rPr>
          <t>Employee deferrals of all income entered within Earned Income (both spouses).  You can also override the amount, but once you do, the formula will be lost.</t>
        </r>
      </text>
    </comment>
    <comment ref="B40" authorId="0">
      <text>
        <r>
          <rPr>
            <sz val="10"/>
            <color indexed="81"/>
            <rFont val="Tahoma"/>
            <family val="2"/>
          </rPr>
          <t>Employer matching and other Employer contributions.  You can also override the amount, but once you do, the formula will be lost.</t>
        </r>
      </text>
    </comment>
    <comment ref="K40" authorId="0">
      <text>
        <r>
          <rPr>
            <sz val="10"/>
            <color indexed="81"/>
            <rFont val="Tahoma"/>
            <family val="2"/>
          </rPr>
          <t>Automatic Formula to retirement, if you don't override it.  Formula lost once overridden. So save worksheet with custom name, if overridden.</t>
        </r>
      </text>
    </comment>
    <comment ref="A44" authorId="0">
      <text>
        <r>
          <rPr>
            <sz val="8"/>
            <color indexed="81"/>
            <rFont val="Tahoma"/>
            <family val="2"/>
          </rPr>
          <t>If Take Req Min Distributions Only is checked TRUE, Take Alt Qualified Distributions will be disregarded.</t>
        </r>
      </text>
    </comment>
    <comment ref="J44" authorId="0">
      <text>
        <r>
          <rPr>
            <sz val="10"/>
            <color theme="1"/>
            <rFont val="Tahoma"/>
            <family val="2"/>
          </rPr>
          <t>If the particiapant's birthday is after June 30th, s/he will not turn age 70 1/2 until the following year.  If so, check box (TRUE) to delay RMDs to age 71.</t>
        </r>
      </text>
    </comment>
    <comment ref="A45" authorId="0">
      <text>
        <r>
          <rPr>
            <sz val="8"/>
            <color indexed="81"/>
            <rFont val="Tahoma"/>
            <family val="2"/>
          </rPr>
          <t xml:space="preserve">If Take Req Min Distributions Only is unchecked FALSE, Alternate Qualified Distributions will be assumed.  If Req Min. is greater, Req Min will override the alternate stream.  If Take Req Min Distributions Only is checked TRUE, Alternate Qualified Distributions will be disregarded.
</t>
        </r>
      </text>
    </comment>
    <comment ref="F45" authorId="0">
      <text>
        <r>
          <rPr>
            <sz val="10"/>
            <color indexed="81"/>
            <rFont val="Tahoma"/>
            <family val="2"/>
          </rPr>
          <t>Automatic Formula to year after retirement, if you don't override it.  Formula lost once overridden. So save worksheet with custom name, if overridden.</t>
        </r>
      </text>
    </comment>
    <comment ref="J45" authorId="0">
      <text>
        <r>
          <rPr>
            <sz val="10"/>
            <color indexed="81"/>
            <rFont val="Tahoma"/>
            <family val="2"/>
          </rPr>
          <t xml:space="preserve">Taxable retirement income starts at retirement and goes through mortality with or without inflation.  </t>
        </r>
        <r>
          <rPr>
            <b/>
            <sz val="10"/>
            <color indexed="81"/>
            <rFont val="Tahoma"/>
            <family val="2"/>
          </rPr>
          <t>Examples:</t>
        </r>
        <r>
          <rPr>
            <sz val="10"/>
            <color indexed="81"/>
            <rFont val="Tahoma"/>
            <family val="2"/>
          </rPr>
          <t xml:space="preserve">  Social Security, qualified pensions, deferred compensation, business installment sales).  </t>
        </r>
        <r>
          <rPr>
            <b/>
            <sz val="10"/>
            <color indexed="81"/>
            <rFont val="Tahoma"/>
            <family val="2"/>
          </rPr>
          <t xml:space="preserve">Max SS:  </t>
        </r>
        <r>
          <rPr>
            <sz val="10"/>
            <color indexed="81"/>
            <rFont val="Tahoma"/>
            <family val="2"/>
          </rPr>
          <t>30,000 + 50% spousal benefit = 15,000</t>
        </r>
      </text>
    </comment>
  </commentList>
</comments>
</file>

<file path=xl/comments3.xml><?xml version="1.0" encoding="utf-8"?>
<comments xmlns="http://schemas.openxmlformats.org/spreadsheetml/2006/main">
  <authors>
    <author>X044507</author>
  </authors>
  <commentList>
    <comment ref="C3" authorId="0">
      <text>
        <r>
          <rPr>
            <b/>
            <sz val="8"/>
            <color indexed="10"/>
            <rFont val="Tahoma"/>
            <family val="2"/>
          </rPr>
          <t>Override +-</t>
        </r>
        <r>
          <rPr>
            <sz val="8"/>
            <color indexed="81"/>
            <rFont val="Tahoma"/>
            <family val="2"/>
          </rPr>
          <t xml:space="preserve"> When income is entered, income taxes will be automatically calculated.</t>
        </r>
      </text>
    </comment>
    <comment ref="D3" authorId="0">
      <text>
        <r>
          <rPr>
            <b/>
            <sz val="8"/>
            <color indexed="10"/>
            <rFont val="Tahoma"/>
            <family val="2"/>
          </rPr>
          <t>Override +-</t>
        </r>
      </text>
    </comment>
    <comment ref="E3" authorId="0">
      <text>
        <r>
          <rPr>
            <b/>
            <sz val="8"/>
            <color indexed="10"/>
            <rFont val="Tahoma"/>
            <family val="2"/>
          </rPr>
          <t>Override +-</t>
        </r>
        <r>
          <rPr>
            <sz val="8"/>
            <color indexed="81"/>
            <rFont val="Tahoma"/>
            <family val="2"/>
          </rPr>
          <t xml:space="preserve">  Income taxes should be entered as a negative.  When income is entered, income taxes will be automatically calculated, so you don't have to adjust for it, but if income is tax-free, you could offset the tax by entering a positive amount.</t>
        </r>
      </text>
    </comment>
    <comment ref="F3" authorId="0">
      <text>
        <r>
          <rPr>
            <b/>
            <sz val="8"/>
            <color indexed="10"/>
            <rFont val="Tahoma"/>
            <family val="2"/>
          </rPr>
          <t>Override +-</t>
        </r>
      </text>
    </comment>
    <comment ref="C70" authorId="0">
      <text>
        <r>
          <rPr>
            <b/>
            <sz val="8"/>
            <color indexed="10"/>
            <rFont val="Tahoma"/>
            <family val="2"/>
          </rPr>
          <t>Override +-</t>
        </r>
        <r>
          <rPr>
            <sz val="8"/>
            <color indexed="81"/>
            <rFont val="Tahoma"/>
            <family val="2"/>
          </rPr>
          <t xml:space="preserve"> When income is entered, income taxes will be automatically calculated.</t>
        </r>
      </text>
    </comment>
    <comment ref="D70" authorId="0">
      <text>
        <r>
          <rPr>
            <b/>
            <sz val="8"/>
            <color indexed="10"/>
            <rFont val="Tahoma"/>
            <family val="2"/>
          </rPr>
          <t>Override +-</t>
        </r>
      </text>
    </comment>
    <comment ref="E70" authorId="0">
      <text>
        <r>
          <rPr>
            <b/>
            <sz val="8"/>
            <color indexed="10"/>
            <rFont val="Tahoma"/>
            <family val="2"/>
          </rPr>
          <t>Override +-</t>
        </r>
        <r>
          <rPr>
            <sz val="8"/>
            <color indexed="81"/>
            <rFont val="Tahoma"/>
            <family val="2"/>
          </rPr>
          <t xml:space="preserve">  Income taxes should be entered as a negative.  When income is entered, income taxes will be automatically calculated, so you don't have to adjust for it, but if income is tax-free, you could offset the tax by entering a positive amount.</t>
        </r>
      </text>
    </comment>
    <comment ref="F70" authorId="0">
      <text>
        <r>
          <rPr>
            <b/>
            <sz val="8"/>
            <color indexed="10"/>
            <rFont val="Tahoma"/>
            <family val="2"/>
          </rPr>
          <t>Override +-</t>
        </r>
      </text>
    </comment>
    <comment ref="C137" authorId="0">
      <text>
        <r>
          <rPr>
            <b/>
            <sz val="8"/>
            <color indexed="10"/>
            <rFont val="Tahoma"/>
            <family val="2"/>
          </rPr>
          <t>Override +-</t>
        </r>
        <r>
          <rPr>
            <sz val="8"/>
            <color indexed="81"/>
            <rFont val="Tahoma"/>
            <family val="2"/>
          </rPr>
          <t xml:space="preserve"> When income is entered, income taxes will be automatically calculated.</t>
        </r>
      </text>
    </comment>
    <comment ref="D137" authorId="0">
      <text>
        <r>
          <rPr>
            <b/>
            <sz val="8"/>
            <color indexed="10"/>
            <rFont val="Tahoma"/>
            <family val="2"/>
          </rPr>
          <t>Override +-</t>
        </r>
      </text>
    </comment>
    <comment ref="E137" authorId="0">
      <text>
        <r>
          <rPr>
            <b/>
            <sz val="8"/>
            <color indexed="10"/>
            <rFont val="Tahoma"/>
            <family val="2"/>
          </rPr>
          <t>Override +-</t>
        </r>
        <r>
          <rPr>
            <sz val="8"/>
            <color indexed="81"/>
            <rFont val="Tahoma"/>
            <family val="2"/>
          </rPr>
          <t xml:space="preserve">  Income taxes should be entered as a negative.  When income is entered, income taxes will be automatically calculated, so you don't have to adjust for it, but if income is tax-free, you could offset the tax by entering a positive amount.</t>
        </r>
      </text>
    </comment>
    <comment ref="F137" authorId="0">
      <text>
        <r>
          <rPr>
            <b/>
            <sz val="8"/>
            <color indexed="10"/>
            <rFont val="Tahoma"/>
            <family val="2"/>
          </rPr>
          <t>Override +-</t>
        </r>
      </text>
    </comment>
  </commentList>
</comments>
</file>

<file path=xl/comments4.xml><?xml version="1.0" encoding="utf-8"?>
<comments xmlns="http://schemas.openxmlformats.org/spreadsheetml/2006/main">
  <authors>
    <author>X044507</author>
  </authors>
  <commentList>
    <comment ref="D3" authorId="0">
      <text>
        <r>
          <rPr>
            <sz val="10"/>
            <color indexed="81"/>
            <rFont val="Tahoma"/>
            <family val="2"/>
          </rPr>
          <t>All income + required minimum distributions - income taxes - spending, FLOW through liquid assets.  Required minimum distributions are not spent, but rather redeposited, net of income taxes, back into liquid assets.  Liquid assets will go negative if spending &amp; debt payments are more than available liquid assets.  If negative, take increased qualified distributions, if available.</t>
        </r>
      </text>
    </comment>
    <comment ref="G3" authorId="0">
      <text>
        <r>
          <rPr>
            <sz val="10"/>
            <color indexed="81"/>
            <rFont val="Tahoma"/>
            <family val="2"/>
          </rPr>
          <t>Liabilities should be a negative amount and should decline in value annually if input correctly.  If increasing annually, the original amount may be entered as a positive number in error.</t>
        </r>
      </text>
    </comment>
    <comment ref="N3" authorId="0">
      <text>
        <r>
          <rPr>
            <sz val="10"/>
            <color indexed="81"/>
            <rFont val="Tahoma"/>
            <family val="2"/>
          </rPr>
          <t>Income = Earned + Other + Retirement Income, reduced by deductible "employee" contributions to a qualified retirement plan(s).  EE and ER contributions are added to the qualified assets at the beginning of the following year.  Income taxes are calculated in a subsequent column and are not included here.  CASH FLOW ADJUSTMENTS:  Look to the hidden sheet TaxTables for adjustments to Income, RMDs, taxes, and spending.</t>
        </r>
      </text>
    </comment>
    <comment ref="O3" authorId="0">
      <text>
        <r>
          <rPr>
            <sz val="10"/>
            <color indexed="81"/>
            <rFont val="Tahoma"/>
            <family val="2"/>
          </rPr>
          <t>RMD factors come from the Uniform Table.  If a spouse is more than 10 years younger, the Required Minimum Distribution (RMD) would be less than illustrated here.  That is a limitation of this analysis.  You could adjust the RMDs manually using the Adjustments hidden sheet.</t>
        </r>
      </text>
    </comment>
    <comment ref="S3" authorId="0">
      <text>
        <r>
          <rPr>
            <sz val="10"/>
            <color indexed="81"/>
            <rFont val="Tahoma"/>
            <family val="2"/>
          </rPr>
          <t>Debt payments are layered on top of spending and will drop off when fully amortized.  CASH FLOW ADJUSTMENTS:  Look to the hidden sheet TaxTables for adjustments to Income, RMDs, taxes, and spending.
Annual Exclusion Gifts are layered on top and are not adjusted for inflation.</t>
        </r>
      </text>
    </comment>
    <comment ref="D70" authorId="0">
      <text>
        <r>
          <rPr>
            <sz val="10"/>
            <color indexed="81"/>
            <rFont val="Tahoma"/>
            <family val="2"/>
          </rPr>
          <t>All income + required minimum distributions - income taxes - spending, FLOW through liquid assets.  Required minimum distributions are not spent, but rather redeposited, net of income taxes, back into liquid assets.  Liquid assets will go negative if spending &amp; debt payments are more than available liquid assets.  If negative, take increased qualified distributions, if available.</t>
        </r>
      </text>
    </comment>
    <comment ref="G70" authorId="0">
      <text>
        <r>
          <rPr>
            <sz val="10"/>
            <color indexed="81"/>
            <rFont val="Tahoma"/>
            <family val="2"/>
          </rPr>
          <t>Liabilities should be a negative amount and should decline in value annually if input correctly.  If increasing annually, the original amount may be entered as a positive number in error.</t>
        </r>
      </text>
    </comment>
    <comment ref="N70" authorId="0">
      <text>
        <r>
          <rPr>
            <sz val="10"/>
            <color indexed="81"/>
            <rFont val="Tahoma"/>
            <family val="2"/>
          </rPr>
          <t>Income = Earned + Other + Retirement Income, reduced by deductible "employee" contributions to a qualified retirement plan(s).  EE and ER contributions are added to the qualified assets at the beginning of the following year.  Income taxes are calculated in a subsequent column and are not included here.  CASH FLOW ADJUSTMENTS:  Look to the hidden sheet TaxTables for adjustments to Income, RMDs, taxes, and spending.</t>
        </r>
      </text>
    </comment>
    <comment ref="O70" authorId="0">
      <text>
        <r>
          <rPr>
            <sz val="10"/>
            <color indexed="81"/>
            <rFont val="Tahoma"/>
            <family val="2"/>
          </rPr>
          <t>RMD factors come from the Uniform Table.  If a spouse is more than 10 years younger, the Required Minimum Distribution (RMD) would be less than illustrated here.  That is a limitation of this analysis.  You could adjust the RMDs manually using the Adjustments hidden sheet.</t>
        </r>
      </text>
    </comment>
    <comment ref="S70" authorId="0">
      <text>
        <r>
          <rPr>
            <sz val="10"/>
            <color indexed="81"/>
            <rFont val="Tahoma"/>
            <family val="2"/>
          </rPr>
          <t>Debt payments are layered on top of spending and will drop off when fully amortized.  CASH FLOW ADJUSTMENTS:  Look to the hidden sheet TaxTables for adjustments to Income, RMDs, taxes, and spending.
Annual Exclusion Gifts are layered on top and are not adjusted for inflation.</t>
        </r>
      </text>
    </comment>
    <comment ref="D137" authorId="0">
      <text>
        <r>
          <rPr>
            <sz val="10"/>
            <color indexed="81"/>
            <rFont val="Tahoma"/>
            <family val="2"/>
          </rPr>
          <t>All income + required minimum distributions - income taxes - spending, FLOW through liquid assets.  Required minimum distributions are not spent, but rather redeposited, net of income taxes, back into liquid assets.  Liquid assets will go negative if spending &amp; debt payments are more than available liquid assets.  If negative, take increased qualified distributions, if available.</t>
        </r>
      </text>
    </comment>
    <comment ref="G137" authorId="0">
      <text>
        <r>
          <rPr>
            <sz val="10"/>
            <color indexed="81"/>
            <rFont val="Tahoma"/>
            <family val="2"/>
          </rPr>
          <t>Liabilities should be a negative amount and should decline in value annually if input correctly.  If increasing annually, the original amount may be entered as a positive number in error.</t>
        </r>
      </text>
    </comment>
    <comment ref="N137" authorId="0">
      <text>
        <r>
          <rPr>
            <sz val="10"/>
            <color indexed="81"/>
            <rFont val="Tahoma"/>
            <family val="2"/>
          </rPr>
          <t>Income = Earned + Other + Retirement Income, reduced by deductible "employee" contributions to a qualified retirement plan(s).  EE and ER contributions are added to the qualified assets at the beginning of the following year.  Income taxes are calculated in a subsequent column and are not included here.  CASH FLOW ADJUSTMENTS:  Look to the hidden sheet TaxTables for adjustments to Income, RMDs, taxes, and spending.</t>
        </r>
      </text>
    </comment>
    <comment ref="O137" authorId="0">
      <text>
        <r>
          <rPr>
            <sz val="10"/>
            <color indexed="81"/>
            <rFont val="Tahoma"/>
            <family val="2"/>
          </rPr>
          <t>RMD factors come from the Uniform Table.  If a spouse is more than 10 years younger, the Required Minimum Distribution (RMD) would be less than illustrated here.  That is a limitation of this analysis.  You could adjust the RMDs manually using the Adjustments hidden sheet.</t>
        </r>
      </text>
    </comment>
    <comment ref="S137" authorId="0">
      <text>
        <r>
          <rPr>
            <sz val="10"/>
            <color indexed="81"/>
            <rFont val="Tahoma"/>
            <family val="2"/>
          </rPr>
          <t>Debt payments are layered on top of spending and will drop off when fully amortized.  CASH FLOW ADJUSTMENTS:  Look to the hidden sheet TaxTables for adjustments to Income, RMDs, taxes, and spending.
Annual Exclusion Gifts are layered on top and are not adjusted for inflation.</t>
        </r>
      </text>
    </comment>
  </commentList>
</comments>
</file>

<file path=xl/comments5.xml><?xml version="1.0" encoding="utf-8"?>
<comments xmlns="http://schemas.openxmlformats.org/spreadsheetml/2006/main">
  <authors>
    <author>X044507</author>
    <author>x044507</author>
  </authors>
  <commentList>
    <comment ref="P3" authorId="0">
      <text>
        <r>
          <rPr>
            <sz val="8"/>
            <color indexed="81"/>
            <rFont val="Tahoma"/>
            <family val="2"/>
          </rPr>
          <t>Current estate less marital exemption (1st death) plus prior taxable gifts.</t>
        </r>
      </text>
    </comment>
    <comment ref="Q3" authorId="0">
      <text>
        <r>
          <rPr>
            <sz val="8"/>
            <color indexed="81"/>
            <rFont val="Tahoma"/>
            <family val="2"/>
          </rPr>
          <t>Projected estate less marital exemption (1st death) plus prior taxable gifts.</t>
        </r>
      </text>
    </comment>
    <comment ref="F12" authorId="1">
      <text>
        <r>
          <rPr>
            <sz val="8"/>
            <color indexed="81"/>
            <rFont val="Tahoma"/>
            <family val="2"/>
          </rPr>
          <t>DE Estate tax is repealed effective 7/1/2013.  Zero out this amount and the 15m to the right after July 1, 2013.</t>
        </r>
      </text>
    </comment>
    <comment ref="P12" authorId="1">
      <text>
        <r>
          <rPr>
            <sz val="8"/>
            <color indexed="81"/>
            <rFont val="Tahoma"/>
            <family val="2"/>
          </rPr>
          <t>DE Estate tax is repealed effective 7/1/2013.  Zero out this amount and the 15m to the right after July 1, 2013.</t>
        </r>
      </text>
    </comment>
    <comment ref="U18" authorId="0">
      <text>
        <r>
          <rPr>
            <b/>
            <sz val="8"/>
            <color indexed="10"/>
            <rFont val="Tahoma"/>
            <family val="2"/>
          </rPr>
          <t>Illinois Interrelated Calculations</t>
        </r>
        <r>
          <rPr>
            <sz val="8"/>
            <color indexed="81"/>
            <rFont val="Tahoma"/>
            <family val="2"/>
          </rPr>
          <t xml:space="preserve"> - 
Cells R18...Z18 are 9 iterrelations using the State Death Tax Table.
A minimum threshold is also calculated using 9 iterrelations of the Federal Estate Tax Table.
The Minimum of these results is the IL tax.</t>
        </r>
      </text>
    </comment>
    <comment ref="AD18" authorId="0">
      <text>
        <r>
          <rPr>
            <b/>
            <sz val="8"/>
            <color indexed="10"/>
            <rFont val="Tahoma"/>
            <family val="2"/>
          </rPr>
          <t>Modified Calc</t>
        </r>
        <r>
          <rPr>
            <sz val="8"/>
            <color indexed="81"/>
            <rFont val="Tahoma"/>
            <family val="2"/>
          </rPr>
          <t>, based on the FULL federal Tax using the CURRENT Federal Rate for years before 2012.</t>
        </r>
      </text>
    </comment>
    <comment ref="BA18" authorId="0">
      <text>
        <r>
          <rPr>
            <b/>
            <sz val="8"/>
            <color indexed="10"/>
            <rFont val="Tahoma"/>
            <family val="2"/>
          </rPr>
          <t>Modified Calc,</t>
        </r>
        <r>
          <rPr>
            <sz val="8"/>
            <color indexed="81"/>
            <rFont val="Tahoma"/>
            <family val="2"/>
          </rPr>
          <t xml:space="preserve"> based on the FULL federal Tax using the Hypothetical Federal Rate for future years beyond 2012.</t>
        </r>
      </text>
    </comment>
    <comment ref="F24" authorId="1">
      <text>
        <r>
          <rPr>
            <sz val="8"/>
            <color indexed="81"/>
            <rFont val="Tahoma"/>
            <family val="2"/>
          </rPr>
          <t>ME Table (see below) has a 2,000,000 exclusion built into it.</t>
        </r>
      </text>
    </comment>
    <comment ref="G24" authorId="1">
      <text>
        <r>
          <rPr>
            <sz val="8"/>
            <color indexed="81"/>
            <rFont val="Tahoma"/>
            <family val="2"/>
          </rPr>
          <t>ME Table (see below) has a 2,000,000 exclusion built into it.</t>
        </r>
      </text>
    </comment>
    <comment ref="U35" authorId="0">
      <text>
        <r>
          <rPr>
            <sz val="8"/>
            <color indexed="81"/>
            <rFont val="Tahoma"/>
            <family val="2"/>
          </rPr>
          <t>Calc per State Death Tax Credit Table.  BUT limited to Federal Tax assuming 675,000 exclusion.</t>
        </r>
      </text>
    </comment>
    <comment ref="W35" authorId="0">
      <text>
        <r>
          <rPr>
            <sz val="8"/>
            <color indexed="81"/>
            <rFont val="Tahoma"/>
            <family val="2"/>
          </rPr>
          <t xml:space="preserve">2001 Federal Tax with 675,000 Exclusion or a Credit or 220,550.
</t>
        </r>
      </text>
    </comment>
    <comment ref="X35" authorId="0">
      <text>
        <r>
          <rPr>
            <sz val="8"/>
            <color indexed="81"/>
            <rFont val="Tahoma"/>
            <family val="2"/>
          </rPr>
          <t>2001 Federal Tax with 675,000 Exclusion or a Credit or 220,550.</t>
        </r>
      </text>
    </comment>
    <comment ref="F38" authorId="0">
      <text>
        <r>
          <rPr>
            <sz val="8"/>
            <color indexed="81"/>
            <rFont val="Tahoma"/>
            <family val="2"/>
          </rPr>
          <t>Tied to the Federal Exemption.  Adjusted for inflation.</t>
        </r>
      </text>
    </comment>
    <comment ref="W38" authorId="0">
      <text>
        <r>
          <rPr>
            <sz val="8"/>
            <color indexed="81"/>
            <rFont val="Tahoma"/>
            <family val="2"/>
          </rPr>
          <t>Limited to Federal Tax in 2011 for the amount over the VT exclusion.  Example:  (Estate Value - 5,000,000) x 35%.</t>
        </r>
      </text>
    </comment>
    <comment ref="F44" authorId="0">
      <text>
        <r>
          <rPr>
            <sz val="8"/>
            <color indexed="81"/>
            <rFont val="Tahoma"/>
            <family val="2"/>
          </rPr>
          <t>Adjusted for inflation.</t>
        </r>
      </text>
    </comment>
    <comment ref="W50" authorId="0">
      <text>
        <r>
          <rPr>
            <sz val="8"/>
            <color indexed="81"/>
            <rFont val="Tahoma"/>
            <family val="2"/>
          </rPr>
          <t>Limited to Federal Tax in 2009 for the amount over the VT exclusion.  Example:  (Estate Value - 2,750,000) x 45%.</t>
        </r>
      </text>
    </comment>
    <comment ref="F66" authorId="1">
      <text>
        <r>
          <rPr>
            <sz val="8"/>
            <color indexed="81"/>
            <rFont val="Tahoma"/>
            <family val="2"/>
          </rPr>
          <t>DE Estate Tax is Repealed July 1, 2013.
RED fields are unlocked and can  be overridden to zero.</t>
        </r>
      </text>
    </comment>
  </commentList>
</comments>
</file>

<file path=xl/comments6.xml><?xml version="1.0" encoding="utf-8"?>
<comments xmlns="http://schemas.openxmlformats.org/spreadsheetml/2006/main">
  <authors>
    <author>X044507</author>
  </authors>
  <commentList>
    <comment ref="G19" authorId="0">
      <text>
        <r>
          <rPr>
            <sz val="8"/>
            <color indexed="81"/>
            <rFont val="Tahoma"/>
            <family val="2"/>
          </rPr>
          <t>If transferring a life insurance policy out of the taxable estate, project mortality "more" than 3 years as the death benefit is added back for 3 years.</t>
        </r>
      </text>
    </comment>
  </commentList>
</comments>
</file>

<file path=xl/sharedStrings.xml><?xml version="1.0" encoding="utf-8"?>
<sst xmlns="http://schemas.openxmlformats.org/spreadsheetml/2006/main" count="1127" uniqueCount="526">
  <si>
    <t>Prudential, the Prudential logo and the Rock symbol are service marks of</t>
  </si>
  <si>
    <t>Prudential Financial, Inc. and its related entities.</t>
  </si>
  <si>
    <t>Year</t>
  </si>
  <si>
    <t>Rate</t>
  </si>
  <si>
    <t xml:space="preserve"> App. Exclusion</t>
  </si>
  <si>
    <t>%</t>
  </si>
  <si>
    <t>#</t>
  </si>
  <si>
    <t xml:space="preserve"> Unified Credit</t>
  </si>
  <si>
    <t>Ave %</t>
  </si>
  <si>
    <t>Applicable Exclusion Amount</t>
  </si>
  <si>
    <t>Continue Exclusion</t>
  </si>
  <si>
    <t>State</t>
  </si>
  <si>
    <t>Federal Pickup Only</t>
  </si>
  <si>
    <t>AL</t>
  </si>
  <si>
    <t>Alabama</t>
  </si>
  <si>
    <t>Pickup</t>
  </si>
  <si>
    <t>AK</t>
  </si>
  <si>
    <t>Alaska</t>
  </si>
  <si>
    <t>AZ</t>
  </si>
  <si>
    <t>Arizona</t>
  </si>
  <si>
    <t>AR</t>
  </si>
  <si>
    <t>Arkansas</t>
  </si>
  <si>
    <t>CA</t>
  </si>
  <si>
    <t>California</t>
  </si>
  <si>
    <t>CO</t>
  </si>
  <si>
    <t>Colorado</t>
  </si>
  <si>
    <t>CT</t>
  </si>
  <si>
    <t>Connecticut</t>
  </si>
  <si>
    <t>Y</t>
  </si>
  <si>
    <t>DE</t>
  </si>
  <si>
    <t>Delaware</t>
  </si>
  <si>
    <t>DC</t>
  </si>
  <si>
    <t>Dist. of Columbia</t>
  </si>
  <si>
    <t>FL</t>
  </si>
  <si>
    <t>Florida</t>
  </si>
  <si>
    <t>GA</t>
  </si>
  <si>
    <t>Georgia</t>
  </si>
  <si>
    <t>HI</t>
  </si>
  <si>
    <t>Hawaii</t>
  </si>
  <si>
    <t>ID</t>
  </si>
  <si>
    <t>Idaho</t>
  </si>
  <si>
    <t>IL</t>
  </si>
  <si>
    <t>Illinois</t>
  </si>
  <si>
    <t>IN</t>
  </si>
  <si>
    <t xml:space="preserve">Indiana </t>
  </si>
  <si>
    <t>IA</t>
  </si>
  <si>
    <t>Iowa</t>
  </si>
  <si>
    <t>KS</t>
  </si>
  <si>
    <t>Kansas</t>
  </si>
  <si>
    <t>KY</t>
  </si>
  <si>
    <t>Kentucky</t>
  </si>
  <si>
    <t>LA</t>
  </si>
  <si>
    <t>Louisiana</t>
  </si>
  <si>
    <t>ME</t>
  </si>
  <si>
    <t>Maine</t>
  </si>
  <si>
    <t>MD</t>
  </si>
  <si>
    <t>Maryland</t>
  </si>
  <si>
    <t>MA</t>
  </si>
  <si>
    <t>Massachusetts</t>
  </si>
  <si>
    <t>MI</t>
  </si>
  <si>
    <t>Michigan</t>
  </si>
  <si>
    <t>MN</t>
  </si>
  <si>
    <t>Minnesota</t>
  </si>
  <si>
    <t>MS</t>
  </si>
  <si>
    <t>Mississippi</t>
  </si>
  <si>
    <t>MO</t>
  </si>
  <si>
    <t>Missouri</t>
  </si>
  <si>
    <t>MT</t>
  </si>
  <si>
    <t>Montana</t>
  </si>
  <si>
    <t>NE</t>
  </si>
  <si>
    <t>Nebraska</t>
  </si>
  <si>
    <t>NV</t>
  </si>
  <si>
    <t>Nevada</t>
  </si>
  <si>
    <t>NH</t>
  </si>
  <si>
    <t>New Hampshire</t>
  </si>
  <si>
    <t>NJ</t>
  </si>
  <si>
    <t>New Jersey</t>
  </si>
  <si>
    <t>NM</t>
  </si>
  <si>
    <t>New Mexico</t>
  </si>
  <si>
    <t>NY</t>
  </si>
  <si>
    <t>New York</t>
  </si>
  <si>
    <t>NC</t>
  </si>
  <si>
    <t>North Carolina</t>
  </si>
  <si>
    <t>ND</t>
  </si>
  <si>
    <t>North Dakota</t>
  </si>
  <si>
    <t>OH</t>
  </si>
  <si>
    <t>OK</t>
  </si>
  <si>
    <t>Oklahoma</t>
  </si>
  <si>
    <t>OR</t>
  </si>
  <si>
    <t>Oregon</t>
  </si>
  <si>
    <t>PA</t>
  </si>
  <si>
    <t>Pennslyvania</t>
  </si>
  <si>
    <t>RI</t>
  </si>
  <si>
    <t>Rhode Island</t>
  </si>
  <si>
    <t>SC</t>
  </si>
  <si>
    <t>South Carolina</t>
  </si>
  <si>
    <t>SD</t>
  </si>
  <si>
    <t>South Dakota</t>
  </si>
  <si>
    <t>TN</t>
  </si>
  <si>
    <t>Tennessee</t>
  </si>
  <si>
    <t>TX</t>
  </si>
  <si>
    <t>Texas</t>
  </si>
  <si>
    <t>UT</t>
  </si>
  <si>
    <t>Utah</t>
  </si>
  <si>
    <t>VT</t>
  </si>
  <si>
    <t>Vermont</t>
  </si>
  <si>
    <t>VA</t>
  </si>
  <si>
    <t>Virginia</t>
  </si>
  <si>
    <t>WA</t>
  </si>
  <si>
    <t>Washington</t>
  </si>
  <si>
    <t>WV</t>
  </si>
  <si>
    <t>West Virginia</t>
  </si>
  <si>
    <t>WI</t>
  </si>
  <si>
    <t>Wisconsin</t>
  </si>
  <si>
    <t>WY</t>
  </si>
  <si>
    <t>Wyoming</t>
  </si>
  <si>
    <t>STATE DEATH TAX CREDIT</t>
  </si>
  <si>
    <t>(ADJUSTED for $60,000 exclusion)</t>
  </si>
  <si>
    <t>Others</t>
  </si>
  <si>
    <t>Class 1</t>
  </si>
  <si>
    <t>Class 2</t>
  </si>
  <si>
    <t>Estate &amp; Inheritance Taxes Today</t>
  </si>
  <si>
    <t xml:space="preserve">States </t>
  </si>
  <si>
    <t>STATE INHERITANCE TAX TABLE</t>
  </si>
  <si>
    <t>Value of Property Passing to Class:</t>
  </si>
  <si>
    <t>Class A Tax on Col. (1)</t>
  </si>
  <si>
    <t>Class A Rate on Excess</t>
  </si>
  <si>
    <t>Class B Tax on Col. (1)</t>
  </si>
  <si>
    <t>Class B Rate on Excess</t>
  </si>
  <si>
    <t>Class C Tax on Col. (1)</t>
  </si>
  <si>
    <t>Class C Rate on Excess</t>
  </si>
  <si>
    <t>Class 2 Tax on Col. (1)</t>
  </si>
  <si>
    <t>Class 2 Rate on Excess</t>
  </si>
  <si>
    <t>Class 3 Tax on Col. (1)</t>
  </si>
  <si>
    <t>Class 3 Rate on Excess</t>
  </si>
  <si>
    <t>and above</t>
  </si>
  <si>
    <t>Class 1 Tax on Col. (1)</t>
  </si>
  <si>
    <t>Class 1 Rate on Excess</t>
  </si>
  <si>
    <t>Class 3</t>
  </si>
  <si>
    <t>ea</t>
  </si>
  <si>
    <t>Value of Share in Excess of Exemption</t>
  </si>
  <si>
    <t>and up</t>
  </si>
  <si>
    <t>Nebraska Inheritance Tax</t>
  </si>
  <si>
    <t>Kentucky Inheritance Tax</t>
  </si>
  <si>
    <t>Indiana Inheritance Tax</t>
  </si>
  <si>
    <t>Value of Transferred Property After Exemption</t>
  </si>
  <si>
    <t>Tax on Col. 1</t>
  </si>
  <si>
    <t>Rate on Excess</t>
  </si>
  <si>
    <t>Iowa Inheritance Tax</t>
  </si>
  <si>
    <t>Tennessee Inheritance Tax</t>
  </si>
  <si>
    <t>Taxable Estate at Least </t>
  </si>
  <si>
    <t>But Less Than</t>
  </si>
  <si>
    <t>Initial Tax Amount</t>
  </si>
  <si>
    <t>Inheritance Class 1</t>
  </si>
  <si>
    <t>Inheritance Class 2</t>
  </si>
  <si>
    <t>Inheritance Class 3</t>
  </si>
  <si>
    <t>N/A - No Inheritance Tax</t>
  </si>
  <si>
    <t>Conneticut Estate Tax</t>
  </si>
  <si>
    <t>Subt Inher from estate</t>
  </si>
  <si>
    <t>Farm Land Exemption</t>
  </si>
  <si>
    <t>Siblings (Family)</t>
  </si>
  <si>
    <t>Washington Estate Tax</t>
  </si>
  <si>
    <t>Child, Parents, G.C.</t>
  </si>
  <si>
    <t>Siblings</t>
  </si>
  <si>
    <t>in table</t>
  </si>
  <si>
    <t>Aunt/Uncle/Niece/Nephew</t>
  </si>
  <si>
    <t>Tax Rate on Excess</t>
  </si>
  <si>
    <t>New Jersey Inheritance Tax</t>
  </si>
  <si>
    <t>Subt Estate from Inherit.</t>
  </si>
  <si>
    <r>
      <rPr>
        <b/>
        <sz val="8"/>
        <rFont val="Gill Sans"/>
        <family val="2"/>
      </rPr>
      <t>Class A</t>
    </r>
    <r>
      <rPr>
        <sz val="8"/>
        <rFont val="Gill Sans"/>
        <family val="2"/>
      </rPr>
      <t xml:space="preserve"> Tax on Col. (1)</t>
    </r>
  </si>
  <si>
    <r>
      <rPr>
        <b/>
        <sz val="8"/>
        <rFont val="Gill Sans"/>
        <family val="2"/>
      </rPr>
      <t>Class A</t>
    </r>
    <r>
      <rPr>
        <sz val="8"/>
        <rFont val="Gill Sans"/>
        <family val="2"/>
      </rPr>
      <t xml:space="preserve"> Rate on Excess</t>
    </r>
  </si>
  <si>
    <r>
      <rPr>
        <b/>
        <sz val="8"/>
        <rFont val="Gill Sans"/>
        <family val="2"/>
      </rPr>
      <t>Class B</t>
    </r>
    <r>
      <rPr>
        <sz val="8"/>
        <rFont val="Gill Sans"/>
        <family val="2"/>
      </rPr>
      <t xml:space="preserve"> Tax on Col. (1)</t>
    </r>
  </si>
  <si>
    <r>
      <rPr>
        <b/>
        <sz val="8"/>
        <rFont val="Gill Sans"/>
        <family val="2"/>
      </rPr>
      <t>Class B</t>
    </r>
    <r>
      <rPr>
        <sz val="8"/>
        <rFont val="Gill Sans"/>
        <family val="2"/>
      </rPr>
      <t xml:space="preserve"> Rate on Excess</t>
    </r>
  </si>
  <si>
    <r>
      <rPr>
        <b/>
        <sz val="8"/>
        <rFont val="Gill Sans"/>
        <family val="2"/>
      </rPr>
      <t>Class C</t>
    </r>
    <r>
      <rPr>
        <sz val="8"/>
        <rFont val="Gill Sans"/>
        <family val="2"/>
      </rPr>
      <t xml:space="preserve"> Tax on Col. (1)</t>
    </r>
  </si>
  <si>
    <t xml:space="preserve"> U.S. Estate Tax</t>
  </si>
  <si>
    <t>Gifts-Yes, Exclusion</t>
  </si>
  <si>
    <t>Inheritance Exclusion</t>
  </si>
  <si>
    <t>Inheritance Comments</t>
  </si>
  <si>
    <t>No Gifts, State Table</t>
  </si>
  <si>
    <t>State Table</t>
  </si>
  <si>
    <t>Custom Table</t>
  </si>
  <si>
    <t>Gifts-Yes, Custom Tbl</t>
  </si>
  <si>
    <t>Exclusion, Custom Tbl</t>
  </si>
  <si>
    <r>
      <t>State QTIP Election</t>
    </r>
    <r>
      <rPr>
        <vertAlign val="superscript"/>
        <sz val="8"/>
        <rFont val="Gill Sans"/>
        <family val="2"/>
      </rPr>
      <t xml:space="preserve"> (3)</t>
    </r>
  </si>
  <si>
    <t>Maximum Inheritence Tax Rates</t>
  </si>
  <si>
    <r>
      <rPr>
        <b/>
        <sz val="8"/>
        <rFont val="Gill Sans"/>
        <family val="2"/>
      </rPr>
      <t>Class C</t>
    </r>
    <r>
      <rPr>
        <sz val="8"/>
        <rFont val="Gill Sans"/>
        <family val="2"/>
      </rPr>
      <t xml:space="preserve"> Rate on Excess</t>
    </r>
  </si>
  <si>
    <t>All Beneficiaries</t>
  </si>
  <si>
    <t>(4) The estate tax acts as a sponse tax, to pick up the State Death Tax Credit LESS the inheritance tax [NJ, TN] or the inheritance is subtracted from the estate tax [MD].</t>
  </si>
  <si>
    <t>Calculations for State Death Tax Credit (Sunset Only)</t>
  </si>
  <si>
    <t>All Others</t>
  </si>
  <si>
    <t>Exemptions built into custom table</t>
  </si>
  <si>
    <t>Children, Parents, G.C.</t>
  </si>
  <si>
    <t>Children, Parents, Spouse of Child</t>
  </si>
  <si>
    <t>Children / GC</t>
  </si>
  <si>
    <t>TN is coupled, so Hypothetical scerario assumes NO estate tax.</t>
  </si>
  <si>
    <t>More Questionable States on Pickup:  CT, IL, OH, WA ??</t>
  </si>
  <si>
    <t>Updated 5/4/11, effective 1/1/2011 - Table reflects one exclusion amount.</t>
  </si>
  <si>
    <t>Current Values - IL</t>
  </si>
  <si>
    <t>Projected Values - IL</t>
  </si>
  <si>
    <t>Do you have a will?</t>
  </si>
  <si>
    <t>Is your state of residence the same as it was when your estate plan was developed?</t>
  </si>
  <si>
    <t>Is your family’s status the same as when your estate plan was developed?</t>
  </si>
  <si>
    <t>Are you comfortable with the executor(s) and trustee(s) you have selected?</t>
  </si>
  <si>
    <t>Is the value of your estate generally the same as when your estate plan was developed?</t>
  </si>
  <si>
    <t>If you have a revocable living trust, have you changed the title of your assets to the name of the trust?</t>
  </si>
  <si>
    <t>Have you considered taking advantage of the annual gift tax exclusion?</t>
  </si>
  <si>
    <t>Do you have sufficient liquid assets to pay for the debts and taxes that become due at death?</t>
  </si>
  <si>
    <t>Are you certain that you have the right amount and type of life insurance?</t>
  </si>
  <si>
    <t>Are you certain your estate plan is up-to-date and takes into account potential tax-saving strategies?</t>
  </si>
  <si>
    <t>If your estate will be subject to estate tax, do you and your spouse each own enough assets to take advantage of your full estate tax applicable exclusion amounts?</t>
  </si>
  <si>
    <t>If each spouse owns enough assets to take advantage of the estate tax applicable exclusion amount, are both your estate plan and your spouse’s designed to take advantage of this amount?</t>
  </si>
  <si>
    <t>Have you executed a durable power of attorney and the appropriate healthcare documents?</t>
  </si>
  <si>
    <t>Does your will name a guardian for your children in the event both you and your spouse are deceased?</t>
  </si>
  <si>
    <t>Have you made sure that your property ownership and beneficiary designations are coordinated with your estate planning documents?</t>
  </si>
  <si>
    <t>If either spouse is a resident but not a citizen of the United States, have you considered including QDOT (qualified domestic trust) provisions in your estate plan?</t>
  </si>
  <si>
    <t>Does your estate plan provide sufficient income for your surviving spouse to maintain his or her lifestyle?</t>
  </si>
  <si>
    <r>
      <t xml:space="preserve">State Estate </t>
    </r>
    <r>
      <rPr>
        <b/>
        <sz val="8"/>
        <color theme="0"/>
        <rFont val="Gill Sans"/>
        <family val="2"/>
      </rPr>
      <t>TODAY</t>
    </r>
  </si>
  <si>
    <r>
      <t xml:space="preserve">State Estate </t>
    </r>
    <r>
      <rPr>
        <b/>
        <sz val="8"/>
        <color theme="0"/>
        <rFont val="Gill Sans"/>
        <family val="2"/>
      </rPr>
      <t>PROJECTED</t>
    </r>
  </si>
  <si>
    <r>
      <t xml:space="preserve">Inheritance </t>
    </r>
    <r>
      <rPr>
        <b/>
        <sz val="8"/>
        <color theme="0"/>
        <rFont val="Gill Sans"/>
        <family val="2"/>
      </rPr>
      <t>TODAY</t>
    </r>
  </si>
  <si>
    <r>
      <t xml:space="preserve">Inheritance </t>
    </r>
    <r>
      <rPr>
        <b/>
        <sz val="8"/>
        <color theme="0"/>
        <rFont val="Gill Sans"/>
        <family val="2"/>
      </rPr>
      <t>PROJECTED</t>
    </r>
  </si>
  <si>
    <t>`</t>
  </si>
  <si>
    <t>IN*</t>
  </si>
  <si>
    <t>(3) State QTIP trust allows the difference between the federal and state applicable exclusion amount to be set aside in a marital trust, saving state estate taxes. (2x the state exemption)</t>
  </si>
  <si>
    <t xml:space="preserve"> Proj. Yr of Death:</t>
  </si>
  <si>
    <t xml:space="preserve"> Death Today:</t>
  </si>
  <si>
    <r>
      <t xml:space="preserve">   States </t>
    </r>
    <r>
      <rPr>
        <b/>
        <sz val="9"/>
        <color rgb="FFC00000"/>
        <rFont val="Gill Sans"/>
        <family val="2"/>
      </rPr>
      <t>NOT</t>
    </r>
    <r>
      <rPr>
        <sz val="9"/>
        <color theme="1"/>
        <rFont val="Gill Sans"/>
        <family val="2"/>
      </rPr>
      <t xml:space="preserve"> allowing State QTIP:  CT, DC, DE, HI, MN, NC, VT.</t>
    </r>
  </si>
  <si>
    <r>
      <t xml:space="preserve">   States Include:  IN*, IA, KY, </t>
    </r>
    <r>
      <rPr>
        <sz val="9"/>
        <rFont val="Gill Sans"/>
        <family val="2"/>
      </rPr>
      <t>MD, NE, NJ, PA, TN.</t>
    </r>
  </si>
  <si>
    <t>Generally there are no state estate or inheritance taxes for transfers to a surviving spouse.  States with an inheritance tax, generally exempt life insurance, which can be adjusted for.  Untaxed assets outside the resident state can be adjusted for.</t>
  </si>
  <si>
    <t>Growth</t>
  </si>
  <si>
    <t>Spending</t>
  </si>
  <si>
    <t>Qualified Assets</t>
  </si>
  <si>
    <t>Fixed Assets</t>
  </si>
  <si>
    <t>Income Taxes</t>
  </si>
  <si>
    <t>UNIFORM TABLE</t>
  </si>
  <si>
    <t>Age</t>
  </si>
  <si>
    <t>Factor</t>
  </si>
  <si>
    <t>RMD</t>
  </si>
  <si>
    <t xml:space="preserve"> Income Tax - IRD</t>
  </si>
  <si>
    <t xml:space="preserve">Take Required Min. Distributions Only? </t>
  </si>
  <si>
    <t>Net Cashflow</t>
  </si>
  <si>
    <t>Liabilities</t>
  </si>
  <si>
    <t>Amortization Schedule</t>
  </si>
  <si>
    <t>Debts</t>
  </si>
  <si>
    <t xml:space="preserve">If married, death of both spouses is assumed to be in the same year with no growth between deaths.  Deductible administrative expenses, probate, and debts are assumed to be zero.  This growth rate is for illustrative purposes only and should not be deemed a representation of past or future results.  Actual investment results may be more or less than that shown.  This does not represent any specific product or service.  Results do not account for any fees, taxes or other potential expenses. </t>
  </si>
  <si>
    <t>Retirement Contributions?</t>
  </si>
  <si>
    <t>Employee</t>
  </si>
  <si>
    <t>Employer</t>
  </si>
  <si>
    <t>Monthly Payments</t>
  </si>
  <si>
    <t>Annual</t>
  </si>
  <si>
    <t>GROWTH</t>
  </si>
  <si>
    <t>CURRENT VALUE</t>
  </si>
  <si>
    <t>Earned Income?</t>
  </si>
  <si>
    <t>Other Income?</t>
  </si>
  <si>
    <t>Today's Cash Flow Summary</t>
  </si>
  <si>
    <t>Earned Income</t>
  </si>
  <si>
    <t>Other Income</t>
  </si>
  <si>
    <t>EE Deferrals</t>
  </si>
  <si>
    <t xml:space="preserve">     Net Income</t>
  </si>
  <si>
    <t xml:space="preserve">     Net Cash Flow</t>
  </si>
  <si>
    <t>[or] Take Alternate Qualified Distributions?</t>
  </si>
  <si>
    <t xml:space="preserve"> U.S. Estate Tax with IRD</t>
  </si>
  <si>
    <t xml:space="preserve"> U.S. Estate Tax without IRD</t>
  </si>
  <si>
    <t>Less Credits</t>
  </si>
  <si>
    <r>
      <rPr>
        <sz val="9"/>
        <color theme="1" tint="0.249977111117893"/>
        <rFont val="Calibri"/>
        <family val="2"/>
      </rPr>
      <t>§691(c)</t>
    </r>
    <r>
      <rPr>
        <sz val="9"/>
        <color theme="1" tint="0.249977111117893"/>
        <rFont val="Gill Sans"/>
        <family val="2"/>
      </rPr>
      <t xml:space="preserve"> Deduction</t>
    </r>
  </si>
  <si>
    <t>HELP / Instructions</t>
  </si>
  <si>
    <t>Retirement Income</t>
  </si>
  <si>
    <t xml:space="preserve"> IRD, if Death Today</t>
  </si>
  <si>
    <t xml:space="preserve">This material is provided courtesy of The Prudential Insurance Company of America, a Prudential Financial company located in Newark, NJ.  Prudential Financial and its affiliates do not give tax or legal advice.  Be sure to consult with your legal and tax advisors about your personal situation.  </t>
  </si>
  <si>
    <t>Married, Using 2 Applicable Exclusions?</t>
  </si>
  <si>
    <t>Qualified Distrib.</t>
  </si>
  <si>
    <r>
      <t xml:space="preserve">See </t>
    </r>
    <r>
      <rPr>
        <b/>
        <sz val="8"/>
        <color rgb="FFC00000"/>
        <rFont val="Gill Sans"/>
      </rPr>
      <t>RED</t>
    </r>
    <r>
      <rPr>
        <sz val="8"/>
        <color theme="1" tint="0.249977111117893"/>
        <rFont val="Gill Sans"/>
        <family val="2"/>
      </rPr>
      <t xml:space="preserve"> triangles for bubble help</t>
    </r>
  </si>
  <si>
    <t xml:space="preserve"> Taxable Estate</t>
  </si>
  <si>
    <t>Qualified Distributions</t>
  </si>
  <si>
    <t>Inflation</t>
  </si>
  <si>
    <t>Income</t>
  </si>
  <si>
    <t>Proj. State Exemption</t>
  </si>
  <si>
    <t>Curr. State Exemption</t>
  </si>
  <si>
    <t>Inherit. Tax</t>
  </si>
  <si>
    <t>Current State Taxable Estate</t>
  </si>
  <si>
    <t>Projected State Taxable Estate</t>
  </si>
  <si>
    <t>(6) [RI] - State Exemption is annually indexed for inflation (Consumer Price Index - Urban Consumers.  This index adjustment is reflected in the projected calculations.</t>
  </si>
  <si>
    <t>Taxable Income</t>
  </si>
  <si>
    <t xml:space="preserve"> Net Fed'l Estate Tax</t>
  </si>
  <si>
    <t xml:space="preserve">    Total Taxes</t>
  </si>
  <si>
    <t>Annual Gifts</t>
  </si>
  <si>
    <t>Age(s)</t>
  </si>
  <si>
    <t>Notes:</t>
  </si>
  <si>
    <r>
      <t xml:space="preserve">Qualified </t>
    </r>
    <r>
      <rPr>
        <sz val="9"/>
        <color theme="1" tint="0.249977111117893"/>
        <rFont val="Calibri"/>
        <family val="2"/>
        <scheme val="minor"/>
      </rPr>
      <t>Distributions</t>
    </r>
  </si>
  <si>
    <t>Annual Spending?</t>
  </si>
  <si>
    <t>Current Values</t>
  </si>
  <si>
    <t>Projected Values</t>
  </si>
  <si>
    <t>Hypothetical Tax Rate</t>
  </si>
  <si>
    <r>
      <t>Spending +</t>
    </r>
    <r>
      <rPr>
        <sz val="9"/>
        <color theme="1" tint="0.249977111117893"/>
        <rFont val="Calibri"/>
        <family val="2"/>
        <scheme val="minor"/>
      </rPr>
      <t xml:space="preserve">Debts </t>
    </r>
    <r>
      <rPr>
        <b/>
        <sz val="9"/>
        <color theme="1" tint="0.249977111117893"/>
        <rFont val="Calibri"/>
        <family val="2"/>
        <scheme val="minor"/>
      </rPr>
      <t>+</t>
    </r>
    <r>
      <rPr>
        <sz val="9"/>
        <color theme="1" tint="0.249977111117893"/>
        <rFont val="Calibri"/>
        <family val="2"/>
        <scheme val="minor"/>
      </rPr>
      <t>Gifts</t>
    </r>
  </si>
  <si>
    <r>
      <t xml:space="preserve">Liquid Assets </t>
    </r>
    <r>
      <rPr>
        <sz val="9"/>
        <color theme="1" tint="0.249977111117893"/>
        <rFont val="Calibri"/>
        <family val="2"/>
        <scheme val="minor"/>
      </rPr>
      <t>+Cashflow</t>
    </r>
  </si>
  <si>
    <t>State Credit Limitation</t>
  </si>
  <si>
    <t>Gr. Pickup Amt</t>
  </si>
  <si>
    <t>Gr. Fed Tax</t>
  </si>
  <si>
    <t>State Cr Lmt FT</t>
  </si>
  <si>
    <t>Adj for NO Pickup</t>
  </si>
  <si>
    <t>~~~~~~~~~~~~~~~~~~~~~~~~~~~~~~ Beginning of Year Values ~~~~~~~~~~~~~~~~~~~~~~~~~~~~~~</t>
  </si>
  <si>
    <t>Yes    No     ?   N/A</t>
  </si>
  <si>
    <t>Current Net Worth</t>
  </si>
  <si>
    <t>Retirement Age?</t>
  </si>
  <si>
    <t>Mortality Age?</t>
  </si>
  <si>
    <t>Inflation Rate?</t>
  </si>
  <si>
    <t>CLIENT</t>
  </si>
  <si>
    <t>SPOUSE</t>
  </si>
  <si>
    <t>Retirement Income?  Begin at Age?</t>
  </si>
  <si>
    <t>INFLATION</t>
  </si>
  <si>
    <t>NET WORTH and LIFE INSURANCE</t>
  </si>
  <si>
    <t>Income and IRD Tax Rate?</t>
  </si>
  <si>
    <t>SPENDING AND GIFTS</t>
  </si>
  <si>
    <t>INCOME</t>
  </si>
  <si>
    <t>RETIREMENT DISTRIBUTIONS</t>
  </si>
  <si>
    <t>CLIENT ASSUMPTIONS</t>
  </si>
  <si>
    <t>Yrs</t>
  </si>
  <si>
    <t>State Inheritance Adj.+/-:</t>
  </si>
  <si>
    <t>Annual Exclusion Gifts?</t>
  </si>
  <si>
    <t>Projected Years?</t>
  </si>
  <si>
    <t>NO State QTIP</t>
  </si>
  <si>
    <t>YES State QTIP</t>
  </si>
  <si>
    <t>N/A</t>
  </si>
  <si>
    <t>ESTATE PLANNING</t>
  </si>
  <si>
    <t>Prior Post 1976 Taxable Gifts?</t>
  </si>
  <si>
    <t xml:space="preserve">Delay RMDs to 71? </t>
  </si>
  <si>
    <t xml:space="preserve">Index from Today? </t>
  </si>
  <si>
    <t xml:space="preserve">Years: </t>
  </si>
  <si>
    <t>0193238</t>
  </si>
  <si>
    <t>Cell used by G44</t>
  </si>
  <si>
    <t xml:space="preserve">     Resident State?</t>
  </si>
  <si>
    <t xml:space="preserve">     Beneficiary Class? </t>
  </si>
  <si>
    <t>Years Delayed?</t>
  </si>
  <si>
    <t>Prior Taxable Gifts?</t>
  </si>
  <si>
    <t xml:space="preserve">     Years</t>
  </si>
  <si>
    <t>RMD Factors</t>
  </si>
  <si>
    <t>~~~~~~~~~~~~~~~~~~~~~~~~~~~ Taxable ~~~~~~~~~~~~~~~~~~~~~~~~~~~</t>
  </si>
  <si>
    <t xml:space="preserve">     Taxable Estate</t>
  </si>
  <si>
    <t>To view Help, scroll RIGHT+UP</t>
  </si>
  <si>
    <t>Income Tax Rate / IRD Tax Rate?</t>
  </si>
  <si>
    <t xml:space="preserve">     Less:  Debts</t>
  </si>
  <si>
    <t>Remaining Years</t>
  </si>
  <si>
    <t xml:space="preserve">Locked.  Input from prior page.  </t>
  </si>
  <si>
    <t>Monthly Payment</t>
  </si>
  <si>
    <t>ESTATE TAX TABLES</t>
  </si>
  <si>
    <t xml:space="preserve"> Unified+State Credit</t>
  </si>
  <si>
    <r>
      <t>Maine Estate Tax</t>
    </r>
    <r>
      <rPr>
        <sz val="10"/>
        <rFont val="Gill Sans"/>
      </rPr>
      <t xml:space="preserve"> (Beginning 1/1/2013)</t>
    </r>
  </si>
  <si>
    <t xml:space="preserve"> </t>
  </si>
  <si>
    <t>Liquid/Investment Assets (from prior page)</t>
  </si>
  <si>
    <t>Life insurance will continue to play an important role in transferring wealth.</t>
  </si>
  <si>
    <t>Purchasing a single or survivorship life insurance contract within an irrevocable life insurance trust (ILIT) continues to be a most efficient way to not only provide liquidity needs at death but also may help leverage the transfer of wealth to your family.</t>
  </si>
  <si>
    <r>
      <rPr>
        <b/>
        <sz val="10"/>
        <color theme="1" tint="0.249977111117893"/>
        <rFont val="Gill Sans"/>
        <family val="2"/>
      </rPr>
      <t>State Estate Taxes</t>
    </r>
    <r>
      <rPr>
        <sz val="10"/>
        <color theme="1" tint="0.249977111117893"/>
        <rFont val="Gill Sans"/>
        <family val="2"/>
      </rPr>
      <t xml:space="preserve"> - State estate and inheritance taxes are currently deductible against the federal estate tax.  Prior to 2001, states were allowed a credit against the federal tax, based on this State Death Tax Credit table.  In 2005, the credit was repealed in favor of a deduction.  All states picked up this credit and most states had no separate estate tax structure of their own, so when the credit was repealed they lost all estate tax collections.  Since 2001, many states have "decoupled" from the federal law and continue to calculate their state estate tax based on this table.  </t>
    </r>
    <r>
      <rPr>
        <b/>
        <sz val="10"/>
        <color theme="1" tint="0.249977111117893"/>
        <rFont val="Gill Sans"/>
        <family val="2"/>
      </rPr>
      <t>ONLY ASSETS DEEMED IN THE STATE ARE TAXABLE.</t>
    </r>
  </si>
  <si>
    <r>
      <rPr>
        <b/>
        <sz val="10"/>
        <color theme="1" tint="0.249977111117893"/>
        <rFont val="Gill Sans"/>
        <family val="2"/>
      </rPr>
      <t>State QTIP Election</t>
    </r>
    <r>
      <rPr>
        <sz val="10"/>
        <color theme="1" tint="0.249977111117893"/>
        <rFont val="Gill Sans"/>
        <family val="2"/>
      </rPr>
      <t xml:space="preserve"> - In states that have an estate tax and a lower applicable exclusion amount, state taxes will be triggered if fully using the federal applicable exclusion amount at first death.  To minimize this issue, some states have instituted a State QTIP election, which allows the funds to be transferred to a special marital trust that allows deferral of any state estate taxes at first death.</t>
    </r>
    <r>
      <rPr>
        <b/>
        <sz val="10"/>
        <color theme="1" tint="0.249977111117893"/>
        <rFont val="Gill Sans"/>
        <family val="2"/>
      </rPr>
      <t/>
    </r>
  </si>
  <si>
    <r>
      <rPr>
        <b/>
        <sz val="10"/>
        <color theme="1" tint="0.249977111117893"/>
        <rFont val="Gill Sans"/>
      </rPr>
      <t xml:space="preserve">Note:  </t>
    </r>
    <r>
      <rPr>
        <sz val="10"/>
        <color theme="1" tint="0.249977111117893"/>
        <rFont val="Gill Sans"/>
      </rPr>
      <t>Payment of inheritance taxes is the responsibility of each beneficiary, not the estate.  This calculator is limited to only "one" beneficiary class.  Distributions to multiple classes (i.e. 50% to children + 50% nephews) can result in a different inheritance tax.</t>
    </r>
  </si>
  <si>
    <r>
      <t xml:space="preserve">Life Insurance Exclusion - </t>
    </r>
    <r>
      <rPr>
        <sz val="10"/>
        <color theme="1" tint="0.249977111117893"/>
        <rFont val="Gill Sans"/>
        <family val="2"/>
      </rPr>
      <t>States that have an inheritance tax (not state estate tax) generally allow an exemption for any life insurance owned within the estate which benefits family members.</t>
    </r>
  </si>
  <si>
    <r>
      <rPr>
        <b/>
        <sz val="10"/>
        <color theme="1" tint="0.249977111117893"/>
        <rFont val="Gill Sans"/>
        <family val="2"/>
      </rPr>
      <t>Zero Tax States</t>
    </r>
    <r>
      <rPr>
        <sz val="10"/>
        <color theme="1" tint="0.249977111117893"/>
        <rFont val="Gill Sans"/>
        <family val="2"/>
      </rPr>
      <t xml:space="preserve"> - Some states were 'pickup' states prior to 2005 and have chosen either not to legislatively "decouple" or have been unable to create an estate or inheritance tax.  With state budget deficits, many states may legislatively increase estate and/or inheritance taxes in the future.  States with NO taxes include:</t>
    </r>
  </si>
  <si>
    <t xml:space="preserve">Have you designated an appropriate beneficiary for all qualified plans and IRAs?  Not having a beneficiary will impact the opportunity to stretch the deferral. </t>
  </si>
  <si>
    <t>Debt Payments</t>
  </si>
  <si>
    <t>State Estate Tax</t>
  </si>
  <si>
    <r>
      <t xml:space="preserve">Optional </t>
    </r>
    <r>
      <rPr>
        <b/>
        <sz val="8"/>
        <color rgb="FFC00000"/>
        <rFont val="Gill Sans"/>
      </rPr>
      <t>"HIDDEN"</t>
    </r>
    <r>
      <rPr>
        <b/>
        <sz val="8"/>
        <color rgb="FF00193F"/>
        <rFont val="Gill Sans"/>
      </rPr>
      <t xml:space="preserve"> Worksheets</t>
    </r>
  </si>
  <si>
    <r>
      <rPr>
        <b/>
        <sz val="10"/>
        <color theme="1" tint="0.249977111117893"/>
        <rFont val="Gill Sans"/>
        <family val="2"/>
      </rPr>
      <t>State Inheritance Taxes</t>
    </r>
    <r>
      <rPr>
        <sz val="10"/>
        <color theme="1" tint="0.249977111117893"/>
        <rFont val="Gill Sans"/>
        <family val="2"/>
      </rPr>
      <t xml:space="preserve"> - Some states have an additional tax which taxes all receipts by beneficiaries.  Generally, all states allow a unlimited deduction to a surviving spouse.  The rates generally vary depending on the beneficiary class.  Lineal decendents (children, grandchildren) are taxed at a lower rate than non lineal decendents, such as nieces, nephews, and others, etc.</t>
    </r>
  </si>
  <si>
    <t>Life insurance is issued by The Prudential Insurance Company of America and its affiliates.  All are Prudential Financial companies located in Newark, NJ, and each is solely responsible for its own financial condition and contractual obligations.  Life insurance policies contain exclusions, limitations, reductions of benefits and terms for keeping them in force.  Your financial professional can provide you with costs and complete details.  The availability of other products and services varies by carrier and state.</t>
  </si>
  <si>
    <t xml:space="preserve">Securities and Insurance Products:
Not Insured by FDIC or Any Federal Government Agency.  May Lose Value.
Not a Deposit of or Guaranteed by Any Bank or Bank Affiliate.
</t>
  </si>
  <si>
    <t>© 2013 Prudential Financial, Inc. and its related entities.</t>
  </si>
  <si>
    <t>Client's DOB / Spouse's DOB?</t>
  </si>
  <si>
    <t>TODAY:</t>
  </si>
  <si>
    <t>~~~~~~~~~~~~~~~~~~~~~~~ End of Year Growth &amp; Cash Flow ~~~~~~~~~~~~~~~~~~~~~~~~~~</t>
  </si>
  <si>
    <t>Totals:</t>
  </si>
  <si>
    <t xml:space="preserve">   States with Separate Estate Tax:  CT, ME*, OR*, WA.</t>
  </si>
  <si>
    <t>(5) [IN] - 5 year phaseout of the inheritance tax between Jan 1, 2013 and Dec 31, 2021.</t>
  </si>
  <si>
    <t>Phase Out</t>
  </si>
  <si>
    <t>Class</t>
  </si>
  <si>
    <t>EXPIRATION</t>
  </si>
  <si>
    <t>Current Year</t>
  </si>
  <si>
    <t>States Allowing:  IL, IN*, IA, KY, ME, MA, MD, NJ, NY, OR, PA, RI, TN, WA.</t>
  </si>
  <si>
    <r>
      <t>Estate Tax</t>
    </r>
    <r>
      <rPr>
        <sz val="16"/>
        <color rgb="FFFFD200"/>
        <rFont val="Arial"/>
        <family val="2"/>
      </rPr>
      <t xml:space="preserve"> </t>
    </r>
    <r>
      <rPr>
        <b/>
        <sz val="18"/>
        <color rgb="FFFFD200"/>
        <rFont val="Arial"/>
        <family val="2"/>
      </rPr>
      <t xml:space="preserve">Calculator              with State Taxes </t>
    </r>
    <r>
      <rPr>
        <sz val="12"/>
        <color rgb="FFFFD200"/>
        <rFont val="Arial"/>
        <family val="2"/>
      </rPr>
      <t xml:space="preserve">                                </t>
    </r>
    <r>
      <rPr>
        <sz val="10"/>
        <color rgb="FFFFD200"/>
        <rFont val="Arial"/>
        <family val="2"/>
      </rPr>
      <t xml:space="preserve">   (including Inheritance and IRD Taxes)</t>
    </r>
  </si>
  <si>
    <t>This sheet allows the addition or subtraction of manual amounts.  The amounts are "layered" within the cash flow projections.</t>
  </si>
  <si>
    <t>Exemption</t>
  </si>
  <si>
    <t>No State Estate/Inheritance Tax - Post 2015</t>
  </si>
  <si>
    <t>Important Notes</t>
  </si>
  <si>
    <t xml:space="preserve">This material is designed by The Prudential Insurance Company of America to help you better identify your potential life insurance needs.  This material is designed to provide general information in regard to the subject matter covered.  It should be used with the understanding that it does not constitute legal, accounting or tax advice.  Such services should be provided by your own legal, accounting and tax advisors.  Accordingly, information in this document cannot be used for purposes of avoiding penalties under the Internal Revenue Code. </t>
  </si>
  <si>
    <t>The financial professional using this material may be an agent operating under his or her own firm, which is not an affiliate of Prudential Financial, or may be an independent broker.  The financial professional may sell life insurance products of Prudential Financial's affiliated life insurance companies in addition to other life insurance companies' products.  The financial professional is authorized to use this material to sell and service certain life insurance products of Prudential Financial's affiliated life insurance companies.</t>
  </si>
  <si>
    <t>Estate Taxes</t>
  </si>
  <si>
    <t>This is a unique time in our history.  As we all try to recover from recent financial upheavals, you may have an eye to the future.  It’s easy to be concerned that your children may not have the same opportunities or "ability" to accumulate wealth as you’ve had.  As you decide your own strategy and determine how you’d like to help your children and grandchildren, is the continued pending re-distribution of wealth to non-family members especially worrisome?</t>
  </si>
  <si>
    <t>RECENT LEGISLATION - American Taxpayer Relief Act of 2012</t>
  </si>
  <si>
    <t>■   The estate, gift, and generation skipping tax (GST) exclusions remain unified and continue to be indexed for inflation;</t>
  </si>
  <si>
    <t>■   A full step up in basis for capital assets is maintained;</t>
  </si>
  <si>
    <t>■  Continuation of the Portability of the decedent's unused applicable exclusion amount is made permanent.  This new provision in 2010 has been popular has it simplifies the estate planning for thoses with more nominal estates.</t>
  </si>
  <si>
    <t>CASH GIFTS</t>
  </si>
  <si>
    <t>Net of Gifts + Growth</t>
  </si>
  <si>
    <t>ILIT</t>
  </si>
  <si>
    <t>SPOUSE'S ASSETS</t>
  </si>
  <si>
    <t>CREDIT SHELTER TR.</t>
  </si>
  <si>
    <t>A, Marital or QTIP Trust</t>
  </si>
  <si>
    <t>B, ByPass or Family Trust</t>
  </si>
  <si>
    <t>FEDERAL ESTATE TAX</t>
  </si>
  <si>
    <t>"FUTURE" IRD TAX</t>
  </si>
  <si>
    <r>
      <rPr>
        <b/>
        <sz val="11"/>
        <color theme="3" tint="-0.499984740745262"/>
        <rFont val="Gill Sans"/>
      </rPr>
      <t>REMEMBER</t>
    </r>
    <r>
      <rPr>
        <sz val="10"/>
        <color theme="1" tint="0.249977111117893"/>
        <rFont val="Gill Sans"/>
      </rPr>
      <t>…wealth planning is more than tax planning.  How and to whom you distribute your assets is of utmost importance.</t>
    </r>
  </si>
  <si>
    <t>SUMMARY</t>
  </si>
  <si>
    <t>YEARS</t>
  </si>
  <si>
    <t>For IRAs and qualified plans, if the spouse is the sole beneficiary and is 10 years or more younger than the owner, different tables are permitted for the calculation of Required Minimum Distributions ("RMDs") which would reduce the amount of RMD.  This analysis does not include use of such tables, if applicable.</t>
  </si>
  <si>
    <t>CALCULATOR</t>
  </si>
  <si>
    <t>Federal and State Estate Taxes</t>
  </si>
  <si>
    <t>Additional "Optional" Assumptions</t>
  </si>
  <si>
    <t>Cash Gifts</t>
  </si>
  <si>
    <t xml:space="preserve"> Projected Net Worth &amp; Gifts</t>
  </si>
  <si>
    <t xml:space="preserve"> Projected Growth and Cash Flow</t>
  </si>
  <si>
    <t>Exclusion Factor</t>
  </si>
  <si>
    <t>Annual Exclusion</t>
  </si>
  <si>
    <t>Annual Excl. Gifts</t>
  </si>
  <si>
    <t>Insurance Premums</t>
  </si>
  <si>
    <t xml:space="preserve">PRIOR TAXABLE GIFTS? </t>
  </si>
  <si>
    <t xml:space="preserve">     Gross Estate</t>
  </si>
  <si>
    <t>Current Exemption</t>
  </si>
  <si>
    <t>PROJECTED ESTATE</t>
  </si>
  <si>
    <t>CURRENT ESTATE</t>
  </si>
  <si>
    <t>Net Gifts</t>
  </si>
  <si>
    <t>Cumulative Gifts</t>
  </si>
  <si>
    <t>Gifts (End of Year)</t>
  </si>
  <si>
    <r>
      <t xml:space="preserve">2001+ </t>
    </r>
    <r>
      <rPr>
        <b/>
        <sz val="9"/>
        <color theme="1" tint="0.249977111117893"/>
        <rFont val="Gill Sans"/>
      </rPr>
      <t>"Sunset"</t>
    </r>
    <r>
      <rPr>
        <sz val="9"/>
        <color theme="1" tint="0.249977111117893"/>
        <rFont val="Gill Sans"/>
      </rPr>
      <t xml:space="preserve"> Estate Tax Table</t>
    </r>
  </si>
  <si>
    <r>
      <t xml:space="preserve">2013+ </t>
    </r>
    <r>
      <rPr>
        <b/>
        <sz val="9"/>
        <color theme="1" tint="0.249977111117893"/>
        <rFont val="Gill Sans"/>
      </rPr>
      <t>"Permanent"</t>
    </r>
    <r>
      <rPr>
        <sz val="9"/>
        <color theme="1" tint="0.249977111117893"/>
        <rFont val="Gill Sans"/>
      </rPr>
      <t xml:space="preserve"> Estate Tax Table</t>
    </r>
  </si>
  <si>
    <t>Top Estate Tax Rate?</t>
  </si>
  <si>
    <t xml:space="preserve"> Applicable Exclusion</t>
  </si>
  <si>
    <t xml:space="preserve"> Net Federal Estate Tax</t>
  </si>
  <si>
    <t xml:space="preserve"> Projected Yr of Death:</t>
  </si>
  <si>
    <t>App. Exclusion Amt. Inflation Adj?</t>
  </si>
  <si>
    <t>Current Applicable Exclusion Amount?</t>
  </si>
  <si>
    <t xml:space="preserve">     2 "State" Exclusions w/State QTIP</t>
  </si>
  <si>
    <t>Projected               Gross Estate</t>
  </si>
  <si>
    <t>Permanent Life Insurance In Estate?</t>
  </si>
  <si>
    <t>Term Life Insurance In Estate? Years?</t>
  </si>
  <si>
    <t>DEATH BENEFIT</t>
  </si>
  <si>
    <t>PREMIUM</t>
  </si>
  <si>
    <t>JOINT GIFTS/AMOUNT</t>
  </si>
  <si>
    <t>Cash Gifts             &amp; ILIT</t>
  </si>
  <si>
    <t>GIFTS vs PREMIUMS</t>
  </si>
  <si>
    <t>NET DISTRIBUTION TO FAMILY + CASH GIFTS &amp; ILIT</t>
  </si>
  <si>
    <t>These optional assumptions, not needed for the analysis, can be used to enhance and more accurately project the estate.</t>
  </si>
  <si>
    <t># of Beneficiaries? Joint Gifts?</t>
  </si>
  <si>
    <r>
      <t>Maximize Exclusion Gifts [</t>
    </r>
    <r>
      <rPr>
        <b/>
        <sz val="10"/>
        <color rgb="FFC00000"/>
        <rFont val="Gill Sans"/>
      </rPr>
      <t>or</t>
    </r>
    <r>
      <rPr>
        <sz val="10"/>
        <color theme="1" tint="0.24994659260841701"/>
        <rFont val="Gill Sans"/>
      </rPr>
      <t>] Amount?</t>
    </r>
  </si>
  <si>
    <r>
      <rPr>
        <b/>
        <sz val="8"/>
        <color rgb="FFC00000"/>
        <rFont val="Gill Sans"/>
      </rPr>
      <t>NEW</t>
    </r>
    <r>
      <rPr>
        <sz val="6"/>
        <color rgb="FFC00000"/>
        <rFont val="Gill Sans"/>
      </rPr>
      <t xml:space="preserve"> </t>
    </r>
    <r>
      <rPr>
        <sz val="6"/>
        <color theme="1" tint="0.499984740745262"/>
        <rFont val="Gill Sans"/>
      </rPr>
      <t xml:space="preserve">                  DEATH BENEFIT</t>
    </r>
  </si>
  <si>
    <t>AGE(S)</t>
  </si>
  <si>
    <t>SPOUSE'S NET WORTH %</t>
  </si>
  <si>
    <t>in Estate</t>
  </si>
  <si>
    <t>Life Insurance</t>
  </si>
  <si>
    <t>NOTES</t>
  </si>
  <si>
    <t>Fax Fact Sheet to:  973-802-2600</t>
  </si>
  <si>
    <t xml:space="preserve">GIFT Permanent Policies + Premiums to ILIT? </t>
  </si>
  <si>
    <t>LEDGER</t>
  </si>
  <si>
    <t>STATES</t>
  </si>
  <si>
    <t>CHECKLIST</t>
  </si>
  <si>
    <t>Wealth Transfer Planning</t>
  </si>
  <si>
    <t>Gifts</t>
  </si>
  <si>
    <t>Net to Family</t>
  </si>
  <si>
    <t>Infla.</t>
  </si>
  <si>
    <t>Client's Mortality Age?</t>
  </si>
  <si>
    <t>No Ins</t>
  </si>
  <si>
    <t xml:space="preserve"> Projected Net Worth</t>
  </si>
  <si>
    <t xml:space="preserve">State tax information effective through Dec 31, 2012  </t>
  </si>
  <si>
    <t>State information effective through Dec 31, 2012</t>
  </si>
  <si>
    <t>Insurance Transfer</t>
  </si>
  <si>
    <t>Premium</t>
  </si>
  <si>
    <r>
      <t xml:space="preserve">ILIT           </t>
    </r>
    <r>
      <rPr>
        <sz val="9"/>
        <color theme="1" tint="0.249977111117893"/>
        <rFont val="Calibri"/>
        <family val="2"/>
        <scheme val="minor"/>
      </rPr>
      <t xml:space="preserve"> (No New Ins)</t>
    </r>
  </si>
  <si>
    <t>No New Gifts</t>
  </si>
  <si>
    <t>Projected Estate No Gifts</t>
  </si>
  <si>
    <t>NO GIFTS</t>
  </si>
  <si>
    <t>Projected Taxes - No Gifts</t>
  </si>
  <si>
    <t>2001+ "Sunset" Estate Tax Law</t>
  </si>
  <si>
    <t>No Gifts - No New Ins.</t>
  </si>
  <si>
    <t>with Gifts &amp; New Life insurance</t>
  </si>
  <si>
    <t>Gifts - No New Ins.</t>
  </si>
  <si>
    <r>
      <rPr>
        <b/>
        <sz val="10"/>
        <color rgb="FFC00000"/>
        <rFont val="Gill Sans"/>
      </rPr>
      <t>NEW</t>
    </r>
    <r>
      <rPr>
        <sz val="10"/>
        <color theme="1" tint="0.24994659260841701"/>
        <rFont val="Gill Sans"/>
      </rPr>
      <t xml:space="preserve"> Life Ins.?   Premiums/Yrs/DB?</t>
    </r>
  </si>
  <si>
    <t>*State Estate and Inheritance taxes PRORATED, based on higher estate assuming no gifts.</t>
  </si>
  <si>
    <t>FOR HISTORICAL PURPOSES ONLY</t>
  </si>
  <si>
    <t>* State Estate and Inheritance taxes PRORATED, based on higher estate assuming no gifts.</t>
  </si>
  <si>
    <t>FACT SHEET</t>
  </si>
  <si>
    <t>Cash Flow Adjustments</t>
  </si>
  <si>
    <t>ADJUSTMENTS</t>
  </si>
  <si>
    <t>PROJECTED ESTATE DISTRIBUTION with CASH GIFTS &amp; LIFE INSURANCE</t>
  </si>
  <si>
    <t>NET DISTRIBUTION TO FAMILY + CASH GIFTS</t>
  </si>
  <si>
    <t>NET DISTRIBUTION TO FAMILY</t>
  </si>
  <si>
    <t>PROJECTED ESTATE DISTRIBUTION with CASH GIFTS</t>
  </si>
  <si>
    <t>SPENDING</t>
  </si>
  <si>
    <r>
      <rPr>
        <sz val="8"/>
        <color theme="1" tint="0.249977111117893"/>
        <rFont val="Gill Sans"/>
      </rPr>
      <t>EE</t>
    </r>
    <r>
      <rPr>
        <sz val="9"/>
        <color theme="1" tint="0.249977111117893"/>
        <rFont val="Gill Sans"/>
      </rPr>
      <t xml:space="preserve">            %</t>
    </r>
  </si>
  <si>
    <t>Maximize Exclusion Gifts? [or] Amount/Yrs?</t>
  </si>
  <si>
    <t>STATE</t>
  </si>
  <si>
    <t># of Beneficiaries</t>
  </si>
  <si>
    <t>Joint Gifts?</t>
  </si>
  <si>
    <r>
      <rPr>
        <sz val="8"/>
        <color theme="1" tint="0.249977111117893"/>
        <rFont val="Gill Sans"/>
      </rPr>
      <t>ER</t>
    </r>
    <r>
      <rPr>
        <sz val="9"/>
        <color theme="1" tint="0.249977111117893"/>
        <rFont val="Gill Sans"/>
      </rPr>
      <t xml:space="preserve">            %</t>
    </r>
  </si>
  <si>
    <t>DATA</t>
  </si>
  <si>
    <t>LIMITATIONS</t>
  </si>
  <si>
    <t>Data Input</t>
  </si>
  <si>
    <r>
      <t xml:space="preserve">   Decoupled States Include:  CT, DE, DC, HI, IL, ME, </t>
    </r>
    <r>
      <rPr>
        <sz val="9"/>
        <rFont val="Gill Sans"/>
        <family val="2"/>
      </rPr>
      <t>MD</t>
    </r>
    <r>
      <rPr>
        <sz val="9"/>
        <color theme="1"/>
        <rFont val="Gill Sans"/>
        <family val="2"/>
      </rPr>
      <t>, MA, MN,</t>
    </r>
    <r>
      <rPr>
        <sz val="9"/>
        <rFont val="Gill Sans"/>
        <family val="2"/>
      </rPr>
      <t xml:space="preserve"> NJ, NY, NC, RI, VT, WA.</t>
    </r>
  </si>
  <si>
    <t>Individual income for each spouse; individual retirement accounts for each spouse; basic social security calculations; NQ and Q annuities with guaranteed income; medicare surtax; survivor needs calculations; college expenses; long term care expenses; taxable gifts with discounts.</t>
  </si>
  <si>
    <t>PROJECTED ESTATE DISTRIBUTION with NO GIFTS</t>
  </si>
  <si>
    <t>Hawaii Estate Tax</t>
  </si>
  <si>
    <t>Oregon Estate Tax</t>
  </si>
  <si>
    <t>(1) Pickup States only pickup the federal credit from the State Death Tax Credit table.  This was repealed in 2005 and not reinstated in 2013.</t>
  </si>
  <si>
    <t>Per Bene</t>
  </si>
  <si>
    <t>* (IN-phasing out 1/2013-12/31/2021).</t>
  </si>
  <si>
    <t xml:space="preserve">   States Include:  AL, AK, AZ, AR, CA, CO, FL, GA, ID, KS, LA, MI, MS, MO, MT, NV, NH, NM, ND, OH, OK, SC, SD, TX, VA, UT, WV, WI, WY.</t>
  </si>
  <si>
    <t>Children, Parents, G.C. - See INPUT on State Details for # of Beneficiaries (250,000 State Exemption per Beneficiary)</t>
  </si>
  <si>
    <t>Delaware Estate Tax</t>
  </si>
  <si>
    <t>(2) States that have DECOUPLED and pickup the Federal state death tax credit per the extinct table.</t>
  </si>
  <si>
    <t>(7) [CT, DE, HI, IN, IA, KY, ME, NE, NJ, OR, TN, WA] - Custom State Estate or Inheritance Table.</t>
  </si>
  <si>
    <t>TAXABLE GIFT</t>
  </si>
  <si>
    <t>PROJ, TAXABLE GIFTS</t>
  </si>
  <si>
    <t>Term Life Insurance in Estate?</t>
  </si>
  <si>
    <t>Qualified Assets?</t>
  </si>
  <si>
    <t>Fixed Assets?</t>
  </si>
  <si>
    <t>Debts?</t>
  </si>
  <si>
    <r>
      <t xml:space="preserve">Liquid Assets? </t>
    </r>
    <r>
      <rPr>
        <sz val="8"/>
        <color theme="1" tint="0.249977111117893"/>
        <rFont val="Gill Sans"/>
      </rPr>
      <t>(Cash / Mkt Sec)</t>
    </r>
  </si>
  <si>
    <t xml:space="preserve">  Remaining Term?</t>
  </si>
  <si>
    <t>$</t>
  </si>
  <si>
    <t>Ohio</t>
  </si>
  <si>
    <t>Note:  A more advanced analysis is available from Advanced Marketing, including:</t>
  </si>
  <si>
    <t>State Estate and Inheritance Taxes</t>
  </si>
  <si>
    <r>
      <t>NOTE:  State Estate &amp; Inheritance Taxes effective through Dec</t>
    </r>
    <r>
      <rPr>
        <b/>
        <sz val="10"/>
        <color rgb="FFC00000"/>
        <rFont val="Gill Sans"/>
        <family val="2"/>
      </rPr>
      <t xml:space="preserve"> 31, 2012</t>
    </r>
    <r>
      <rPr>
        <b/>
        <sz val="8"/>
        <color rgb="FFC00000"/>
        <rFont val="Gill Sans"/>
        <family val="2"/>
      </rPr>
      <t>.  See additional notes on the State Estate and Inheritance Taxes page.</t>
    </r>
  </si>
  <si>
    <t>State Estate and Inheritance Tax Details</t>
  </si>
  <si>
    <t>Max. Interest</t>
  </si>
  <si>
    <t>Client Age</t>
  </si>
  <si>
    <t>Growth is NEVER greater than 2X current Net Worth.  A shorter growth period may be more reasonable at age 70-80.</t>
  </si>
  <si>
    <t>Pru's Projected Growth Underwriting Limit</t>
  </si>
  <si>
    <t>Actual:</t>
  </si>
  <si>
    <t>Add'l over NO Gifts</t>
  </si>
  <si>
    <t>Projected Years</t>
  </si>
  <si>
    <t>0193238-00007-00  Ed. 02/2013 Exp. 08/15/2014</t>
  </si>
</sst>
</file>

<file path=xl/styles.xml><?xml version="1.0" encoding="utf-8"?>
<styleSheet xmlns="http://schemas.openxmlformats.org/spreadsheetml/2006/main">
  <numFmts count="14">
    <numFmt numFmtId="5" formatCode="&quot;$&quot;#,##0_);\(&quot;$&quot;#,##0\)"/>
    <numFmt numFmtId="6" formatCode="&quot;$&quot;#,##0_);[Red]\(&quot;$&quot;#,##0\)"/>
    <numFmt numFmtId="44" formatCode="_(&quot;$&quot;* #,##0.00_);_(&quot;$&quot;* \(#,##0.00\);_(&quot;$&quot;* &quot;-&quot;??_);_(@_)"/>
    <numFmt numFmtId="43" formatCode="_(* #,##0.00_);_(* \(#,##0.00\);_(* &quot;-&quot;??_);_(@_)"/>
    <numFmt numFmtId="164" formatCode="_(* #,##0_);_(* \(#,##0\);_(* &quot;-&quot;??_);_(@_)"/>
    <numFmt numFmtId="165" formatCode="0.0%"/>
    <numFmt numFmtId="166" formatCode="0_);\(0\)"/>
    <numFmt numFmtId="167" formatCode="0.0"/>
    <numFmt numFmtId="168" formatCode="m/d/yy;@"/>
    <numFmt numFmtId="169" formatCode="_(&quot;$&quot;* #,##0_);_(&quot;$&quot;* \(#,##0\);_(&quot;$&quot;* &quot;-&quot;??_);_(@_)"/>
    <numFmt numFmtId="170" formatCode="#,##0.0_);[Red]\(#,##0.0\)"/>
    <numFmt numFmtId="171" formatCode="m/d/yyyy;@"/>
    <numFmt numFmtId="172" formatCode="0.00000000"/>
    <numFmt numFmtId="173" formatCode="&quot;$&quot;#,##0"/>
  </numFmts>
  <fonts count="208">
    <font>
      <sz val="10"/>
      <color theme="1"/>
      <name val="Comic Sans MS"/>
      <family val="2"/>
    </font>
    <font>
      <sz val="10"/>
      <color theme="1"/>
      <name val="Gill Sans"/>
      <family val="2"/>
    </font>
    <font>
      <sz val="10"/>
      <color theme="1"/>
      <name val="Comic Sans MS"/>
      <family val="2"/>
    </font>
    <font>
      <sz val="10"/>
      <color theme="1"/>
      <name val="Calibri"/>
      <family val="2"/>
      <scheme val="minor"/>
    </font>
    <font>
      <sz val="10"/>
      <color theme="1" tint="0.249977111117893"/>
      <name val="Calibri"/>
      <family val="2"/>
      <scheme val="minor"/>
    </font>
    <font>
      <b/>
      <sz val="10"/>
      <color theme="1" tint="0.249977111117893"/>
      <name val="Calibri"/>
      <family val="2"/>
      <scheme val="minor"/>
    </font>
    <font>
      <sz val="8"/>
      <color indexed="81"/>
      <name val="Tahoma"/>
      <family val="2"/>
    </font>
    <font>
      <b/>
      <sz val="8"/>
      <color indexed="81"/>
      <name val="Tahoma"/>
      <family val="2"/>
    </font>
    <font>
      <sz val="9"/>
      <color theme="1" tint="0.249977111117893"/>
      <name val="Calibri"/>
      <family val="2"/>
      <scheme val="minor"/>
    </font>
    <font>
      <sz val="9"/>
      <name val="Calibri"/>
      <family val="2"/>
      <scheme val="minor"/>
    </font>
    <font>
      <sz val="12"/>
      <name val="Calibri"/>
      <family val="2"/>
      <scheme val="minor"/>
    </font>
    <font>
      <b/>
      <sz val="12"/>
      <name val="Calibri"/>
      <family val="2"/>
      <scheme val="minor"/>
    </font>
    <font>
      <b/>
      <sz val="20"/>
      <name val="Calibri"/>
      <family val="2"/>
      <scheme val="minor"/>
    </font>
    <font>
      <sz val="10"/>
      <color theme="1"/>
      <name val="Gill Sans"/>
      <family val="2"/>
    </font>
    <font>
      <sz val="9"/>
      <color theme="1"/>
      <name val="Gill Sans"/>
      <family val="2"/>
    </font>
    <font>
      <b/>
      <sz val="10"/>
      <color theme="1"/>
      <name val="Gill Sans"/>
      <family val="2"/>
    </font>
    <font>
      <b/>
      <sz val="16"/>
      <color theme="0"/>
      <name val="Gill Sans"/>
      <family val="2"/>
    </font>
    <font>
      <sz val="11"/>
      <color theme="1"/>
      <name val="Gill Sans"/>
      <family val="2"/>
    </font>
    <font>
      <sz val="9"/>
      <color rgb="FFC00000"/>
      <name val="Gill Sans"/>
      <family val="2"/>
    </font>
    <font>
      <sz val="8"/>
      <color theme="1"/>
      <name val="Gill Sans"/>
      <family val="2"/>
    </font>
    <font>
      <sz val="9"/>
      <color theme="1" tint="0.249977111117893"/>
      <name val="Gill Sans"/>
      <family val="2"/>
    </font>
    <font>
      <b/>
      <sz val="9"/>
      <color rgb="FFFF0000"/>
      <name val="Gill Sans"/>
      <family val="2"/>
    </font>
    <font>
      <sz val="8"/>
      <color rgb="FFC00000"/>
      <name val="Gill Sans"/>
      <family val="2"/>
    </font>
    <font>
      <b/>
      <sz val="9"/>
      <color rgb="FFC00000"/>
      <name val="Gill Sans"/>
      <family val="2"/>
    </font>
    <font>
      <sz val="9"/>
      <name val="Gill Sans"/>
      <family val="2"/>
    </font>
    <font>
      <sz val="9"/>
      <color theme="0"/>
      <name val="Gill Sans"/>
      <family val="2"/>
    </font>
    <font>
      <sz val="8"/>
      <color theme="1" tint="0.249977111117893"/>
      <name val="Gill Sans"/>
      <family val="2"/>
    </font>
    <font>
      <b/>
      <sz val="10"/>
      <color theme="1" tint="0.249977111117893"/>
      <name val="Gill Sans"/>
      <family val="2"/>
    </font>
    <font>
      <sz val="10"/>
      <color theme="1" tint="0.249977111117893"/>
      <name val="Gill Sans"/>
      <family val="2"/>
    </font>
    <font>
      <b/>
      <sz val="8"/>
      <color indexed="10"/>
      <name val="Tahoma"/>
      <family val="2"/>
    </font>
    <font>
      <sz val="9"/>
      <color theme="1" tint="0.24994659260841701"/>
      <name val="Gill Sans"/>
      <family val="2"/>
    </font>
    <font>
      <sz val="8"/>
      <color theme="0"/>
      <name val="Gill Sans"/>
      <family val="2"/>
    </font>
    <font>
      <sz val="8"/>
      <name val="Gill Sans"/>
      <family val="2"/>
    </font>
    <font>
      <sz val="7"/>
      <name val="Gill Sans"/>
      <family val="2"/>
    </font>
    <font>
      <b/>
      <sz val="8"/>
      <name val="Gill Sans"/>
      <family val="2"/>
    </font>
    <font>
      <b/>
      <sz val="10"/>
      <name val="Gill Sans"/>
      <family val="2"/>
    </font>
    <font>
      <b/>
      <sz val="9"/>
      <color theme="1" tint="0.249977111117893"/>
      <name val="Gill Sans"/>
      <family val="2"/>
    </font>
    <font>
      <b/>
      <sz val="9"/>
      <name val="Gill Sans"/>
      <family val="2"/>
    </font>
    <font>
      <sz val="8"/>
      <color theme="1" tint="0.24994659260841701"/>
      <name val="Calibri"/>
      <family val="2"/>
    </font>
    <font>
      <vertAlign val="superscript"/>
      <sz val="8"/>
      <name val="Gill Sans"/>
      <family val="2"/>
    </font>
    <font>
      <sz val="8"/>
      <color theme="1" tint="0.24994659260841701"/>
      <name val="Gill Sans"/>
      <family val="2"/>
    </font>
    <font>
      <sz val="8"/>
      <color rgb="FFFF0000"/>
      <name val="Gill Sans"/>
      <family val="2"/>
    </font>
    <font>
      <sz val="11"/>
      <color theme="1" tint="0.24994659260841701"/>
      <name val="Gill Sans"/>
      <family val="2"/>
    </font>
    <font>
      <sz val="8"/>
      <color indexed="10"/>
      <name val="Tahoma"/>
      <family val="2"/>
    </font>
    <font>
      <b/>
      <sz val="8"/>
      <color rgb="FFC00000"/>
      <name val="Gill Sans"/>
      <family val="2"/>
    </font>
    <font>
      <b/>
      <sz val="10"/>
      <color rgb="FFC00000"/>
      <name val="Gill Sans"/>
      <family val="2"/>
    </font>
    <font>
      <sz val="10"/>
      <color rgb="FFC00000"/>
      <name val="Gill Sans"/>
      <family val="2"/>
    </font>
    <font>
      <b/>
      <sz val="10"/>
      <color theme="0"/>
      <name val="Gill Sans"/>
      <family val="2"/>
    </font>
    <font>
      <b/>
      <sz val="9"/>
      <color rgb="FFC00000"/>
      <name val="Calibri"/>
      <family val="2"/>
      <scheme val="minor"/>
    </font>
    <font>
      <vertAlign val="superscript"/>
      <sz val="10"/>
      <color theme="1" tint="0.24994659260841701"/>
      <name val="Gill Sans"/>
      <family val="2"/>
    </font>
    <font>
      <vertAlign val="superscript"/>
      <sz val="8"/>
      <color theme="1" tint="0.24994659260841701"/>
      <name val="Gill Sans"/>
      <family val="2"/>
    </font>
    <font>
      <b/>
      <sz val="12"/>
      <color theme="0"/>
      <name val="Calibri"/>
      <family val="2"/>
      <scheme val="minor"/>
    </font>
    <font>
      <b/>
      <sz val="8"/>
      <color theme="0"/>
      <name val="Gill Sans"/>
      <family val="2"/>
    </font>
    <font>
      <sz val="7"/>
      <color rgb="FFC00000"/>
      <name val="Gill Sans"/>
      <family val="2"/>
    </font>
    <font>
      <sz val="10"/>
      <name val="Gill Sans"/>
    </font>
    <font>
      <sz val="10"/>
      <color theme="1"/>
      <name val="Gill Sans"/>
    </font>
    <font>
      <b/>
      <u/>
      <sz val="8"/>
      <color indexed="81"/>
      <name val="Tahoma"/>
      <family val="2"/>
    </font>
    <font>
      <sz val="8"/>
      <color theme="1"/>
      <name val="Gill Sans MT"/>
      <family val="2"/>
    </font>
    <font>
      <sz val="9"/>
      <color theme="1"/>
      <name val="Calibri"/>
      <family val="2"/>
    </font>
    <font>
      <sz val="9"/>
      <color theme="1"/>
      <name val="Comic Sans MS"/>
      <family val="2"/>
    </font>
    <font>
      <sz val="9"/>
      <color theme="1" tint="0.24994659260841701"/>
      <name val="Calibri"/>
      <family val="2"/>
    </font>
    <font>
      <sz val="7"/>
      <color theme="1" tint="0.24994659260841701"/>
      <name val="Gill Sans"/>
      <family val="2"/>
    </font>
    <font>
      <b/>
      <i/>
      <sz val="9"/>
      <color theme="1" tint="0.24994659260841701"/>
      <name val="Gill Sans"/>
    </font>
    <font>
      <b/>
      <sz val="9"/>
      <color theme="1" tint="0.249977111117893"/>
      <name val="Calibri"/>
      <family val="2"/>
    </font>
    <font>
      <sz val="9"/>
      <color theme="1" tint="0.249977111117893"/>
      <name val="Calibri"/>
      <family val="2"/>
    </font>
    <font>
      <sz val="8"/>
      <color indexed="8"/>
      <name val="Gill Sans"/>
    </font>
    <font>
      <sz val="9"/>
      <color theme="1"/>
      <name val="Gill Sans"/>
    </font>
    <font>
      <sz val="9"/>
      <color theme="0"/>
      <name val="Gill Sans"/>
    </font>
    <font>
      <sz val="9"/>
      <color theme="1" tint="0.249977111117893"/>
      <name val="Gill Sans"/>
    </font>
    <font>
      <sz val="9"/>
      <name val="Gill Sans"/>
    </font>
    <font>
      <b/>
      <sz val="12"/>
      <color indexed="8"/>
      <name val="Gill Sans"/>
    </font>
    <font>
      <sz val="8"/>
      <color rgb="FF232323"/>
      <name val="Gill Sans"/>
    </font>
    <font>
      <sz val="8"/>
      <color theme="1"/>
      <name val="Gill Sans"/>
    </font>
    <font>
      <sz val="10"/>
      <color theme="1" tint="0.249977111117893"/>
      <name val="Gill Sans"/>
    </font>
    <font>
      <b/>
      <sz val="10"/>
      <color theme="1" tint="0.249977111117893"/>
      <name val="Gill Sans"/>
    </font>
    <font>
      <vertAlign val="superscript"/>
      <sz val="12"/>
      <name val="Calibri"/>
      <family val="2"/>
      <scheme val="minor"/>
    </font>
    <font>
      <sz val="8"/>
      <name val="Gill Sans"/>
    </font>
    <font>
      <sz val="8"/>
      <name val="Calibri"/>
      <family val="2"/>
    </font>
    <font>
      <sz val="8"/>
      <color theme="1" tint="0.249977111117893"/>
      <name val="Gill Sans"/>
    </font>
    <font>
      <b/>
      <sz val="9"/>
      <color theme="1" tint="4.9989318521683403E-2"/>
      <name val="Calibri"/>
      <family val="2"/>
    </font>
    <font>
      <b/>
      <sz val="9"/>
      <color theme="1" tint="0.249977111117893"/>
      <name val="Calibri"/>
      <family val="2"/>
      <scheme val="minor"/>
    </font>
    <font>
      <b/>
      <sz val="9"/>
      <color theme="1"/>
      <name val="Calibri"/>
      <family val="2"/>
    </font>
    <font>
      <b/>
      <sz val="10"/>
      <color theme="0"/>
      <name val="Gill Sans"/>
    </font>
    <font>
      <sz val="9"/>
      <color theme="1" tint="0.24994659260841701"/>
      <name val="Gill Sans"/>
    </font>
    <font>
      <b/>
      <sz val="9"/>
      <color theme="1" tint="0.249977111117893"/>
      <name val="Gill Sans"/>
    </font>
    <font>
      <u/>
      <sz val="9"/>
      <color theme="1"/>
      <name val="Gill Sans"/>
      <family val="2"/>
    </font>
    <font>
      <b/>
      <sz val="8"/>
      <color rgb="FFC00000"/>
      <name val="Gill Sans"/>
    </font>
    <font>
      <b/>
      <sz val="10"/>
      <color rgb="FF00B050"/>
      <name val="Gill Sans"/>
    </font>
    <font>
      <b/>
      <sz val="12"/>
      <color rgb="FF00B050"/>
      <name val="Gill Sans"/>
      <family val="2"/>
    </font>
    <font>
      <sz val="9"/>
      <color theme="1" tint="0.249977111117893"/>
      <name val="Comic Sans MS"/>
      <family val="2"/>
    </font>
    <font>
      <b/>
      <sz val="8"/>
      <color theme="1" tint="0.249977111117893"/>
      <name val="Calibri"/>
      <family val="2"/>
    </font>
    <font>
      <sz val="8"/>
      <color theme="1" tint="0.249977111117893"/>
      <name val="Calibri"/>
      <family val="2"/>
    </font>
    <font>
      <b/>
      <sz val="8"/>
      <color theme="1" tint="0.249977111117893"/>
      <name val="Calibri"/>
      <family val="2"/>
      <scheme val="minor"/>
    </font>
    <font>
      <sz val="8"/>
      <color theme="1" tint="0.249977111117893"/>
      <name val="Comic Sans MS"/>
      <family val="2"/>
    </font>
    <font>
      <b/>
      <sz val="16"/>
      <color theme="1" tint="0.24994659260841701"/>
      <name val="Calibri"/>
      <family val="2"/>
      <scheme val="minor"/>
    </font>
    <font>
      <sz val="8"/>
      <color theme="1" tint="0.24994659260841701"/>
      <name val="Gill Sans"/>
    </font>
    <font>
      <sz val="10"/>
      <color theme="1" tint="0.24994659260841701"/>
      <name val="Gill Sans"/>
    </font>
    <font>
      <sz val="9"/>
      <name val="Calibri"/>
      <family val="2"/>
    </font>
    <font>
      <sz val="9"/>
      <color theme="1" tint="4.9989318521683403E-2"/>
      <name val="Calibri"/>
      <family val="2"/>
    </font>
    <font>
      <sz val="10"/>
      <color theme="1" tint="0.24994659260841701"/>
      <name val="Gill Sans"/>
      <family val="2"/>
    </font>
    <font>
      <sz val="8"/>
      <color theme="1" tint="0.499984740745262"/>
      <name val="Gill Sans"/>
      <family val="2"/>
    </font>
    <font>
      <sz val="6"/>
      <color theme="1" tint="0.499984740745262"/>
      <name val="Gill Sans"/>
      <family val="2"/>
    </font>
    <font>
      <u/>
      <sz val="8"/>
      <color theme="1" tint="0.499984740745262"/>
      <name val="Gill Sans"/>
      <family val="2"/>
    </font>
    <font>
      <u/>
      <sz val="8"/>
      <color theme="1" tint="0.24994659260841701"/>
      <name val="Gill Sans"/>
      <family val="2"/>
    </font>
    <font>
      <sz val="6"/>
      <color theme="1" tint="0.24994659260841701"/>
      <name val="Gill Sans"/>
      <family val="2"/>
    </font>
    <font>
      <sz val="6"/>
      <color theme="1" tint="0.24994659260841701"/>
      <name val="Gill Sans"/>
    </font>
    <font>
      <b/>
      <sz val="9"/>
      <color rgb="FFC00000"/>
      <name val="Gill Sans"/>
    </font>
    <font>
      <b/>
      <sz val="8"/>
      <color theme="1" tint="0.249977111117893"/>
      <name val="Gill Sans"/>
    </font>
    <font>
      <b/>
      <sz val="10"/>
      <color theme="1" tint="0.24994659260841701"/>
      <name val="Gill Sans"/>
    </font>
    <font>
      <b/>
      <sz val="8"/>
      <color rgb="FF00B050"/>
      <name val="Gill Sans"/>
    </font>
    <font>
      <sz val="7"/>
      <color theme="0"/>
      <name val="Gill Sans"/>
      <family val="2"/>
    </font>
    <font>
      <sz val="9"/>
      <color theme="1" tint="0.499984740745262"/>
      <name val="Gill Sans"/>
      <family val="2"/>
    </font>
    <font>
      <b/>
      <sz val="11"/>
      <color theme="1"/>
      <name val="Gill Sans"/>
    </font>
    <font>
      <sz val="11"/>
      <color theme="1" tint="0.249977111117893"/>
      <name val="Gill Sans"/>
    </font>
    <font>
      <sz val="7"/>
      <color theme="1"/>
      <name val="Gill Sans"/>
      <family val="2"/>
    </font>
    <font>
      <sz val="9"/>
      <color rgb="FFC00000"/>
      <name val="Gill Sans"/>
    </font>
    <font>
      <b/>
      <sz val="20"/>
      <color theme="1" tint="0.24994659260841701"/>
      <name val="Calibri"/>
      <family val="2"/>
      <scheme val="minor"/>
    </font>
    <font>
      <sz val="11"/>
      <color rgb="FFC00000"/>
      <name val="Gill Sans"/>
      <family val="2"/>
    </font>
    <font>
      <b/>
      <sz val="11"/>
      <color theme="0"/>
      <name val="Gill Sans"/>
      <family val="2"/>
    </font>
    <font>
      <sz val="7"/>
      <color theme="0"/>
      <name val="Gill Sans"/>
    </font>
    <font>
      <u/>
      <sz val="8"/>
      <color indexed="81"/>
      <name val="Tahoma"/>
      <family val="2"/>
    </font>
    <font>
      <sz val="10"/>
      <color indexed="81"/>
      <name val="Tahoma"/>
      <family val="2"/>
    </font>
    <font>
      <b/>
      <sz val="10"/>
      <color indexed="81"/>
      <name val="Tahoma"/>
      <family val="2"/>
    </font>
    <font>
      <b/>
      <sz val="10"/>
      <color indexed="10"/>
      <name val="Tahoma"/>
      <family val="2"/>
    </font>
    <font>
      <sz val="10"/>
      <color theme="1"/>
      <name val="Tahoma"/>
      <family val="2"/>
    </font>
    <font>
      <b/>
      <sz val="8"/>
      <color rgb="FF00193F"/>
      <name val="Gill Sans"/>
    </font>
    <font>
      <b/>
      <sz val="8"/>
      <color rgb="FF002247"/>
      <name val="Gill Sans"/>
    </font>
    <font>
      <b/>
      <sz val="8"/>
      <color rgb="FF001935"/>
      <name val="Gill Sans"/>
    </font>
    <font>
      <b/>
      <sz val="20"/>
      <color theme="0"/>
      <name val="Arial"/>
      <family val="2"/>
    </font>
    <font>
      <sz val="12"/>
      <name val="Arial"/>
      <family val="2"/>
    </font>
    <font>
      <sz val="12"/>
      <color theme="1" tint="0.24994659260841701"/>
      <name val="Arial"/>
      <family val="2"/>
    </font>
    <font>
      <sz val="11"/>
      <color theme="2" tint="-0.749992370372631"/>
      <name val="Arial"/>
      <family val="2"/>
    </font>
    <font>
      <b/>
      <sz val="18"/>
      <color rgb="FFFFD200"/>
      <name val="Arial"/>
      <family val="2"/>
    </font>
    <font>
      <sz val="16"/>
      <color rgb="FFFFD200"/>
      <name val="Arial"/>
      <family val="2"/>
    </font>
    <font>
      <sz val="12"/>
      <color rgb="FFFFD200"/>
      <name val="Arial"/>
      <family val="2"/>
    </font>
    <font>
      <sz val="10"/>
      <color rgb="FFFFD200"/>
      <name val="Arial"/>
      <family val="2"/>
    </font>
    <font>
      <b/>
      <sz val="14"/>
      <color theme="4" tint="-0.249977111117893"/>
      <name val="Arial"/>
      <family val="2"/>
    </font>
    <font>
      <sz val="10"/>
      <color theme="1"/>
      <name val="Arial"/>
      <family val="2"/>
    </font>
    <font>
      <sz val="10"/>
      <color theme="1" tint="0.24994659260841701"/>
      <name val="Arial"/>
      <family val="2"/>
    </font>
    <font>
      <b/>
      <sz val="8"/>
      <color theme="1" tint="0.24994659260841701"/>
      <name val="Arial"/>
      <family val="2"/>
    </font>
    <font>
      <sz val="8"/>
      <color theme="1" tint="0.249977111117893"/>
      <name val="Arial"/>
      <family val="2"/>
    </font>
    <font>
      <b/>
      <sz val="8"/>
      <color theme="1" tint="0.249977111117893"/>
      <name val="Arial"/>
      <family val="2"/>
    </font>
    <font>
      <b/>
      <sz val="10"/>
      <color theme="1" tint="0.249977111117893"/>
      <name val="Arial"/>
      <family val="2"/>
    </font>
    <font>
      <sz val="10"/>
      <color theme="1" tint="0.249977111117893"/>
      <name val="Arial"/>
      <family val="2"/>
    </font>
    <font>
      <b/>
      <sz val="18"/>
      <color rgb="FFFFD200"/>
      <name val="Gill Sans"/>
    </font>
    <font>
      <b/>
      <sz val="20"/>
      <color rgb="FFFFD200"/>
      <name val="Gill Sans"/>
      <family val="2"/>
    </font>
    <font>
      <sz val="10"/>
      <name val="Comic Sans MS"/>
      <family val="4"/>
    </font>
    <font>
      <sz val="10"/>
      <color theme="1" tint="0.499984740745262"/>
      <name val="Gill Sans"/>
      <family val="2"/>
    </font>
    <font>
      <sz val="6"/>
      <color theme="1" tint="0.249977111117893"/>
      <name val="Gill Sans"/>
    </font>
    <font>
      <sz val="11"/>
      <color theme="1" tint="0.249977111117893"/>
      <name val="Gill Sans"/>
      <family val="2"/>
    </font>
    <font>
      <sz val="11"/>
      <color theme="1" tint="0.499984740745262"/>
      <name val="Gill Sans"/>
      <family val="2"/>
    </font>
    <font>
      <b/>
      <sz val="11"/>
      <color theme="1"/>
      <name val="Gill Sans"/>
      <family val="2"/>
    </font>
    <font>
      <b/>
      <sz val="11"/>
      <color theme="1" tint="0.249977111117893"/>
      <name val="Gill Sans"/>
      <family val="2"/>
    </font>
    <font>
      <u/>
      <sz val="11"/>
      <color theme="1" tint="0.249977111117893"/>
      <name val="Gill Sans"/>
      <family val="2"/>
    </font>
    <font>
      <b/>
      <i/>
      <sz val="11"/>
      <color theme="1" tint="0.24994659260841701"/>
      <name val="Gill Sans"/>
      <family val="2"/>
    </font>
    <font>
      <b/>
      <sz val="11"/>
      <color rgb="FF00B050"/>
      <name val="Gill Sans"/>
      <family val="2"/>
    </font>
    <font>
      <b/>
      <sz val="12"/>
      <color rgb="FFFFD200"/>
      <name val="Gill Sans"/>
      <family val="2"/>
    </font>
    <font>
      <b/>
      <sz val="20"/>
      <color rgb="FFFFD200"/>
      <name val="Calibri"/>
      <family val="2"/>
      <scheme val="minor"/>
    </font>
    <font>
      <sz val="6"/>
      <color theme="1" tint="0.249977111117893"/>
      <name val="Gill Sans"/>
      <family val="2"/>
    </font>
    <font>
      <sz val="7"/>
      <color theme="1" tint="0.249977111117893"/>
      <name val="Gill Sans"/>
      <family val="2"/>
    </font>
    <font>
      <b/>
      <sz val="8"/>
      <name val="Gill Sans"/>
    </font>
    <font>
      <b/>
      <sz val="11"/>
      <color theme="0"/>
      <name val="Arial"/>
      <family val="2"/>
    </font>
    <font>
      <sz val="6"/>
      <color indexed="23"/>
      <name val="Gill Sans"/>
    </font>
    <font>
      <sz val="6"/>
      <color theme="1" tint="0.499984740745262"/>
      <name val="Gill Sans"/>
    </font>
    <font>
      <b/>
      <sz val="10"/>
      <color theme="4" tint="-0.249977111117893"/>
      <name val="Gill Sans"/>
    </font>
    <font>
      <b/>
      <sz val="11"/>
      <color theme="4" tint="-0.249977111117893"/>
      <name val="Gill Sans"/>
    </font>
    <font>
      <b/>
      <sz val="11"/>
      <color rgb="FF002060"/>
      <name val="Gill Sans"/>
    </font>
    <font>
      <sz val="6"/>
      <color theme="0"/>
      <name val="Gill Sans"/>
    </font>
    <font>
      <b/>
      <sz val="9"/>
      <color theme="4" tint="-0.249977111117893"/>
      <name val="Gill Sans"/>
    </font>
    <font>
      <sz val="6"/>
      <name val="Gill Sans"/>
    </font>
    <font>
      <b/>
      <sz val="16"/>
      <color theme="3" tint="-0.499984740745262"/>
      <name val="Gill Sans"/>
    </font>
    <font>
      <b/>
      <sz val="11"/>
      <color theme="3" tint="-0.499984740745262"/>
      <name val="Gill Sans"/>
    </font>
    <font>
      <b/>
      <sz val="14"/>
      <color theme="3" tint="-0.499984740745262"/>
      <name val="Gill Sans"/>
    </font>
    <font>
      <sz val="9"/>
      <color theme="1" tint="0.499984740745262"/>
      <name val="Gill Sans"/>
    </font>
    <font>
      <b/>
      <sz val="12"/>
      <color theme="1" tint="0.249977111117893"/>
      <name val="Gill Sans"/>
    </font>
    <font>
      <sz val="9"/>
      <color rgb="FFFF0000"/>
      <name val="Gill Sans"/>
    </font>
    <font>
      <sz val="9"/>
      <color indexed="81"/>
      <name val="Tahoma"/>
      <family val="2"/>
    </font>
    <font>
      <b/>
      <sz val="11"/>
      <color theme="0" tint="-0.499984740745262"/>
      <name val="Gill Sans"/>
    </font>
    <font>
      <b/>
      <sz val="10"/>
      <color theme="1"/>
      <name val="Gill Sans"/>
    </font>
    <font>
      <b/>
      <sz val="10"/>
      <color rgb="FFC00000"/>
      <name val="Gill Sans"/>
    </font>
    <font>
      <b/>
      <sz val="12"/>
      <color theme="0"/>
      <name val="Arial"/>
      <family val="2"/>
    </font>
    <font>
      <b/>
      <sz val="9"/>
      <color theme="1" tint="0.249977111117893"/>
      <name val="Comic Sans MS"/>
      <family val="2"/>
    </font>
    <font>
      <sz val="10"/>
      <color theme="1" tint="0.249977111117893"/>
      <name val="Comic Sans MS"/>
      <family val="2"/>
    </font>
    <font>
      <b/>
      <sz val="11"/>
      <color rgb="FF00B050"/>
      <name val="Gill Sans"/>
    </font>
    <font>
      <sz val="9"/>
      <color theme="0" tint="-0.499984740745262"/>
      <name val="Gill Sans"/>
    </font>
    <font>
      <sz val="6"/>
      <color rgb="FFC00000"/>
      <name val="Gill Sans"/>
    </font>
    <font>
      <sz val="9"/>
      <color theme="0" tint="-0.499984740745262"/>
      <name val="Gill Sans"/>
      <family val="2"/>
    </font>
    <font>
      <sz val="10"/>
      <color theme="1" tint="0.24994659260841701"/>
      <name val="Calibri"/>
      <family val="2"/>
      <scheme val="minor"/>
    </font>
    <font>
      <b/>
      <sz val="18"/>
      <color rgb="FFFFD200"/>
      <name val="Gill Sans"/>
      <family val="2"/>
    </font>
    <font>
      <b/>
      <sz val="18"/>
      <color rgb="FFFFD200"/>
      <name val="Calibri"/>
      <family val="2"/>
      <scheme val="minor"/>
    </font>
    <font>
      <sz val="9"/>
      <color rgb="FFFF0000"/>
      <name val="Gill Sans"/>
      <family val="2"/>
    </font>
    <font>
      <sz val="8"/>
      <color theme="0" tint="-0.499984740745262"/>
      <name val="Gill Sans"/>
      <family val="2"/>
    </font>
    <font>
      <sz val="8"/>
      <color theme="0" tint="-0.499984740745262"/>
      <name val="Gill Sans"/>
    </font>
    <font>
      <u/>
      <sz val="8"/>
      <color theme="0" tint="-0.499984740745262"/>
      <name val="Gill Sans"/>
      <family val="2"/>
    </font>
    <font>
      <b/>
      <sz val="8"/>
      <color theme="0" tint="-0.499984740745262"/>
      <name val="Gill Sans"/>
      <family val="2"/>
    </font>
    <font>
      <sz val="10"/>
      <color theme="0" tint="-0.499984740745262"/>
      <name val="Comic Sans MS"/>
      <family val="2"/>
    </font>
    <font>
      <b/>
      <sz val="8"/>
      <color theme="4"/>
      <name val="Gill Sans"/>
    </font>
    <font>
      <sz val="6"/>
      <color theme="0" tint="-0.499984740745262"/>
      <name val="Gill Sans"/>
    </font>
    <font>
      <sz val="10"/>
      <color theme="1" tint="0.499984740745262"/>
      <name val="Gill Sans"/>
    </font>
    <font>
      <sz val="9"/>
      <color indexed="10"/>
      <name val="Tahoma"/>
      <family val="2"/>
    </font>
    <font>
      <b/>
      <sz val="8"/>
      <color rgb="FFFF0000"/>
      <name val="Gill Sans"/>
    </font>
    <font>
      <b/>
      <sz val="12"/>
      <name val="Gill Sans"/>
    </font>
    <font>
      <sz val="8"/>
      <color indexed="23"/>
      <name val="Gill Sans"/>
    </font>
    <font>
      <b/>
      <sz val="11"/>
      <color rgb="FFFF0000"/>
      <name val="Gill Sans"/>
      <family val="2"/>
    </font>
    <font>
      <b/>
      <sz val="6"/>
      <color rgb="FF00B050"/>
      <name val="Gill Sans"/>
    </font>
    <font>
      <b/>
      <sz val="8"/>
      <color rgb="FFFF0000"/>
      <name val="Gill Sans"/>
      <family val="2"/>
    </font>
    <font>
      <b/>
      <sz val="12"/>
      <color rgb="FF00B050"/>
      <name val="Gill Sans"/>
    </font>
    <font>
      <b/>
      <sz val="9"/>
      <color theme="1"/>
      <name val="Gill Sans"/>
    </font>
  </fonts>
  <fills count="29">
    <fill>
      <patternFill patternType="none"/>
    </fill>
    <fill>
      <patternFill patternType="gray125"/>
    </fill>
    <fill>
      <patternFill patternType="solid">
        <fgColor rgb="FFFFFFFF"/>
        <bgColor indexed="64"/>
      </patternFill>
    </fill>
    <fill>
      <patternFill patternType="solid">
        <fgColor theme="6" tint="0.79998168889431442"/>
        <bgColor indexed="64"/>
      </patternFill>
    </fill>
    <fill>
      <patternFill patternType="solid">
        <fgColor rgb="FFC00000"/>
        <bgColor indexed="64"/>
      </patternFill>
    </fill>
    <fill>
      <patternFill patternType="solid">
        <fgColor rgb="FFFFFF00"/>
        <bgColor indexed="64"/>
      </patternFill>
    </fill>
    <fill>
      <patternFill patternType="solid">
        <fgColor rgb="FF001935"/>
        <bgColor indexed="64"/>
      </patternFill>
    </fill>
    <fill>
      <patternFill patternType="solid">
        <fgColor theme="0"/>
        <bgColor indexed="64"/>
      </patternFill>
    </fill>
    <fill>
      <patternFill patternType="solid">
        <fgColor rgb="FF9EC3DE"/>
        <bgColor indexed="64"/>
      </patternFill>
    </fill>
    <fill>
      <patternFill patternType="solid">
        <fgColor rgb="FF98C3DE"/>
        <bgColor indexed="64"/>
      </patternFill>
    </fill>
    <fill>
      <patternFill patternType="solid">
        <fgColor rgb="FF05639E"/>
        <bgColor indexed="64"/>
      </patternFill>
    </fill>
    <fill>
      <patternFill patternType="solid">
        <fgColor theme="0" tint="-4.9989318521683403E-2"/>
        <bgColor indexed="64"/>
      </patternFill>
    </fill>
    <fill>
      <patternFill patternType="solid">
        <fgColor theme="3" tint="-0.499984740745262"/>
        <bgColor indexed="64"/>
      </patternFill>
    </fill>
    <fill>
      <patternFill patternType="solid">
        <fgColor rgb="FFFFFFCC"/>
        <bgColor indexed="64"/>
      </patternFill>
    </fill>
    <fill>
      <patternFill patternType="lightUp">
        <fgColor theme="0" tint="-0.14996795556505021"/>
        <bgColor indexed="65"/>
      </patternFill>
    </fill>
    <fill>
      <patternFill patternType="lightUp">
        <fgColor theme="0" tint="-0.24994659260841701"/>
        <bgColor indexed="65"/>
      </patternFill>
    </fill>
    <fill>
      <patternFill patternType="lightUp">
        <fgColor theme="0" tint="-0.24994659260841701"/>
        <bgColor theme="0"/>
      </patternFill>
    </fill>
    <fill>
      <patternFill patternType="solid">
        <fgColor auto="1"/>
        <bgColor theme="0"/>
      </patternFill>
    </fill>
    <fill>
      <patternFill patternType="solid">
        <fgColor theme="0"/>
        <bgColor theme="0"/>
      </patternFill>
    </fill>
    <fill>
      <patternFill patternType="solid">
        <fgColor theme="3" tint="0.79998168889431442"/>
        <bgColor indexed="64"/>
      </patternFill>
    </fill>
    <fill>
      <patternFill patternType="lightUp">
        <fgColor theme="0" tint="-0.24994659260841701"/>
        <bgColor theme="3" tint="0.79998168889431442"/>
      </patternFill>
    </fill>
    <fill>
      <patternFill patternType="solid">
        <fgColor indexed="65"/>
        <bgColor theme="0"/>
      </patternFill>
    </fill>
    <fill>
      <patternFill patternType="solid">
        <fgColor rgb="FF002247"/>
        <bgColor indexed="64"/>
      </patternFill>
    </fill>
    <fill>
      <patternFill patternType="solid">
        <fgColor theme="4" tint="0.79998168889431442"/>
        <bgColor indexed="64"/>
      </patternFill>
    </fill>
    <fill>
      <patternFill patternType="solid">
        <fgColor rgb="FFC5D9F1"/>
        <bgColor indexed="64"/>
      </patternFill>
    </fill>
    <fill>
      <patternFill patternType="solid">
        <fgColor rgb="FF98C3DE"/>
        <bgColor theme="4" tint="0.59996337778862885"/>
      </patternFill>
    </fill>
    <fill>
      <patternFill patternType="solid">
        <fgColor rgb="FFFFD200"/>
        <bgColor indexed="64"/>
      </patternFill>
    </fill>
    <fill>
      <patternFill patternType="gray125">
        <fgColor theme="0" tint="-0.24994659260841701"/>
        <bgColor indexed="65"/>
      </patternFill>
    </fill>
    <fill>
      <patternFill patternType="gray125">
        <fgColor theme="0" tint="-0.24994659260841701"/>
        <bgColor theme="4" tint="0.79998168889431442"/>
      </patternFill>
    </fill>
  </fills>
  <borders count="12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theme="1" tint="0.24994659260841701"/>
      </left>
      <right/>
      <top style="thin">
        <color theme="1" tint="0.24994659260841701"/>
      </top>
      <bottom/>
      <diagonal/>
    </border>
    <border>
      <left/>
      <right/>
      <top style="thin">
        <color theme="1" tint="0.24994659260841701"/>
      </top>
      <bottom/>
      <diagonal/>
    </border>
    <border>
      <left/>
      <right style="thin">
        <color theme="1" tint="0.24994659260841701"/>
      </right>
      <top style="thin">
        <color theme="1" tint="0.24994659260841701"/>
      </top>
      <bottom/>
      <diagonal/>
    </border>
    <border>
      <left style="thin">
        <color theme="1" tint="0.24994659260841701"/>
      </left>
      <right/>
      <top/>
      <bottom style="thin">
        <color theme="1" tint="0.24994659260841701"/>
      </bottom>
      <diagonal/>
    </border>
    <border>
      <left/>
      <right/>
      <top/>
      <bottom style="thin">
        <color theme="1" tint="0.24994659260841701"/>
      </bottom>
      <diagonal/>
    </border>
    <border>
      <left/>
      <right style="thin">
        <color theme="1" tint="0.24994659260841701"/>
      </right>
      <top/>
      <bottom style="thin">
        <color theme="1" tint="0.2499465926084170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style="thin">
        <color theme="6" tint="0.79998168889431442"/>
      </left>
      <right/>
      <top/>
      <bottom/>
      <diagonal/>
    </border>
    <border>
      <left style="thin">
        <color theme="0" tint="-0.24994659260841701"/>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diagonal/>
    </border>
    <border>
      <left style="thin">
        <color theme="4"/>
      </left>
      <right style="thin">
        <color theme="4"/>
      </right>
      <top style="thin">
        <color theme="4"/>
      </top>
      <bottom/>
      <diagonal/>
    </border>
    <border>
      <left style="thin">
        <color theme="4"/>
      </left>
      <right/>
      <top style="thin">
        <color theme="4"/>
      </top>
      <bottom style="thin">
        <color theme="4"/>
      </bottom>
      <diagonal/>
    </border>
    <border>
      <left/>
      <right/>
      <top style="thin">
        <color theme="4"/>
      </top>
      <bottom style="thin">
        <color theme="4"/>
      </bottom>
      <diagonal/>
    </border>
    <border>
      <left/>
      <right style="thin">
        <color theme="4"/>
      </right>
      <top style="thin">
        <color theme="4"/>
      </top>
      <bottom style="thin">
        <color theme="4"/>
      </bottom>
      <diagonal/>
    </border>
    <border>
      <left style="thin">
        <color rgb="FF000000"/>
      </left>
      <right/>
      <top style="thin">
        <color rgb="FF000000"/>
      </top>
      <bottom style="thin">
        <color auto="1"/>
      </bottom>
      <diagonal/>
    </border>
    <border>
      <left/>
      <right/>
      <top style="thin">
        <color rgb="FF000000"/>
      </top>
      <bottom style="thin">
        <color auto="1"/>
      </bottom>
      <diagonal/>
    </border>
    <border>
      <left/>
      <right style="thin">
        <color rgb="FF000000"/>
      </right>
      <top style="thin">
        <color rgb="FF000000"/>
      </top>
      <bottom style="thin">
        <color auto="1"/>
      </bottom>
      <diagonal/>
    </border>
    <border>
      <left style="thin">
        <color rgb="FF9E0000"/>
      </left>
      <right/>
      <top style="thin">
        <color rgb="FF9E0000"/>
      </top>
      <bottom style="thin">
        <color rgb="FF9E0000"/>
      </bottom>
      <diagonal/>
    </border>
    <border>
      <left/>
      <right style="thin">
        <color rgb="FF9E0000"/>
      </right>
      <top style="thin">
        <color rgb="FF9E0000"/>
      </top>
      <bottom style="thin">
        <color rgb="FF9E0000"/>
      </bottom>
      <diagonal/>
    </border>
    <border>
      <left/>
      <right style="thin">
        <color theme="0" tint="-0.24994659260841701"/>
      </right>
      <top style="thin">
        <color theme="0" tint="-0.24994659260841701"/>
      </top>
      <bottom/>
      <diagonal/>
    </border>
    <border>
      <left/>
      <right/>
      <top style="thin">
        <color theme="0" tint="-0.24994659260841701"/>
      </top>
      <bottom style="thin">
        <color theme="0" tint="-0.24994659260841701"/>
      </bottom>
      <diagonal/>
    </border>
    <border>
      <left style="thin">
        <color theme="0" tint="-0.24994659260841701"/>
      </left>
      <right/>
      <top/>
      <bottom style="thin">
        <color theme="0" tint="-0.24994659260841701"/>
      </bottom>
      <diagonal/>
    </border>
    <border>
      <left/>
      <right/>
      <top/>
      <bottom style="thin">
        <color theme="0" tint="-0.24994659260841701"/>
      </bottom>
      <diagonal/>
    </border>
    <border>
      <left/>
      <right style="thin">
        <color theme="0" tint="-0.24994659260841701"/>
      </right>
      <top/>
      <bottom style="thin">
        <color theme="0" tint="-0.24994659260841701"/>
      </bottom>
      <diagonal/>
    </border>
    <border>
      <left style="thin">
        <color theme="1" tint="0.24994659260841701"/>
      </left>
      <right/>
      <top/>
      <bottom/>
      <diagonal/>
    </border>
    <border>
      <left style="thin">
        <color theme="0" tint="-0.14996795556505021"/>
      </left>
      <right style="thin">
        <color theme="0" tint="-0.14996795556505021"/>
      </right>
      <top style="thin">
        <color theme="0" tint="-0.14996795556505021"/>
      </top>
      <bottom style="dotted">
        <color theme="0" tint="-0.14996795556505021"/>
      </bottom>
      <diagonal/>
    </border>
    <border>
      <left style="thin">
        <color theme="0" tint="-0.14996795556505021"/>
      </left>
      <right style="thin">
        <color theme="0" tint="-0.14996795556505021"/>
      </right>
      <top/>
      <bottom/>
      <diagonal/>
    </border>
    <border>
      <left style="thin">
        <color theme="0" tint="-0.14996795556505021"/>
      </left>
      <right style="thin">
        <color theme="0" tint="-0.14996795556505021"/>
      </right>
      <top/>
      <bottom style="thin">
        <color theme="0" tint="-0.14996795556505021"/>
      </bottom>
      <diagonal/>
    </border>
    <border>
      <left style="thin">
        <color theme="0" tint="-0.14996795556505021"/>
      </left>
      <right style="thin">
        <color theme="0" tint="-0.14996795556505021"/>
      </right>
      <top/>
      <bottom style="thin">
        <color theme="0" tint="-0.14993743705557422"/>
      </bottom>
      <diagonal/>
    </border>
    <border>
      <left style="thin">
        <color theme="0" tint="-0.14993743705557422"/>
      </left>
      <right style="thin">
        <color theme="0" tint="-0.14993743705557422"/>
      </right>
      <top style="thin">
        <color theme="0" tint="-0.14993743705557422"/>
      </top>
      <bottom/>
      <diagonal/>
    </border>
    <border>
      <left style="thin">
        <color theme="0" tint="-0.14993743705557422"/>
      </left>
      <right style="thin">
        <color theme="0" tint="-0.14993743705557422"/>
      </right>
      <top/>
      <bottom style="thin">
        <color theme="0" tint="-0.14990691854609822"/>
      </bottom>
      <diagonal/>
    </border>
    <border>
      <left style="thin">
        <color theme="0" tint="-0.14996795556505021"/>
      </left>
      <right style="thin">
        <color theme="0" tint="-0.14996795556505021"/>
      </right>
      <top/>
      <bottom style="dotted">
        <color theme="0" tint="-0.14996795556505021"/>
      </bottom>
      <diagonal/>
    </border>
    <border>
      <left style="thin">
        <color theme="0" tint="-0.14996795556505021"/>
      </left>
      <right style="thin">
        <color theme="0" tint="-0.14996795556505021"/>
      </right>
      <top style="dotted">
        <color theme="0" tint="-0.14996795556505021"/>
      </top>
      <bottom style="dotted">
        <color theme="0" tint="-0.14993743705557422"/>
      </bottom>
      <diagonal/>
    </border>
    <border>
      <left style="thin">
        <color theme="4" tint="0.79998168889431442"/>
      </left>
      <right/>
      <top style="thin">
        <color theme="4" tint="0.79998168889431442"/>
      </top>
      <bottom style="thin">
        <color theme="4" tint="0.79998168889431442"/>
      </bottom>
      <diagonal/>
    </border>
    <border>
      <left/>
      <right/>
      <top style="thin">
        <color theme="4" tint="0.79998168889431442"/>
      </top>
      <bottom style="thin">
        <color theme="4" tint="0.79998168889431442"/>
      </bottom>
      <diagonal/>
    </border>
    <border>
      <left/>
      <right style="thin">
        <color theme="4" tint="0.79998168889431442"/>
      </right>
      <top style="thin">
        <color theme="4" tint="0.79998168889431442"/>
      </top>
      <bottom style="thin">
        <color theme="4" tint="0.79998168889431442"/>
      </bottom>
      <diagonal/>
    </border>
    <border>
      <left style="thick">
        <color rgb="FF98C3DE"/>
      </left>
      <right/>
      <top style="thick">
        <color rgb="FF98C3DE"/>
      </top>
      <bottom/>
      <diagonal/>
    </border>
    <border>
      <left/>
      <right/>
      <top style="thick">
        <color rgb="FF98C3DE"/>
      </top>
      <bottom/>
      <diagonal/>
    </border>
    <border>
      <left/>
      <right style="thick">
        <color rgb="FF98C3DE"/>
      </right>
      <top style="thick">
        <color rgb="FF98C3DE"/>
      </top>
      <bottom/>
      <diagonal/>
    </border>
    <border>
      <left style="thick">
        <color rgb="FF98C3DE"/>
      </left>
      <right/>
      <top/>
      <bottom/>
      <diagonal/>
    </border>
    <border>
      <left/>
      <right style="thick">
        <color rgb="FF98C3DE"/>
      </right>
      <top/>
      <bottom/>
      <diagonal/>
    </border>
    <border>
      <left style="thick">
        <color rgb="FF98C3DE"/>
      </left>
      <right/>
      <top/>
      <bottom style="thick">
        <color rgb="FF98C3DE"/>
      </bottom>
      <diagonal/>
    </border>
    <border>
      <left/>
      <right/>
      <top/>
      <bottom style="thick">
        <color rgb="FF98C3DE"/>
      </bottom>
      <diagonal/>
    </border>
    <border>
      <left/>
      <right style="thick">
        <color rgb="FF98C3DE"/>
      </right>
      <top/>
      <bottom style="thick">
        <color rgb="FF98C3DE"/>
      </bottom>
      <diagonal/>
    </border>
    <border>
      <left style="thin">
        <color theme="1" tint="0.24994659260841701"/>
      </left>
      <right style="thin">
        <color theme="1" tint="0.24994659260841701"/>
      </right>
      <top style="thin">
        <color theme="1" tint="0.24994659260841701"/>
      </top>
      <bottom/>
      <diagonal/>
    </border>
    <border>
      <left style="thin">
        <color theme="1" tint="0.24994659260841701"/>
      </left>
      <right style="thin">
        <color theme="1" tint="0.24994659260841701"/>
      </right>
      <top/>
      <bottom style="thin">
        <color theme="1" tint="0.24994659260841701"/>
      </bottom>
      <diagonal/>
    </border>
    <border>
      <left style="thin">
        <color theme="0" tint="-0.14996795556505021"/>
      </left>
      <right style="thin">
        <color theme="0" tint="-0.14996795556505021"/>
      </right>
      <top style="thin">
        <color theme="0" tint="-0.14996795556505021"/>
      </top>
      <bottom style="thin">
        <color theme="0" tint="-0.14993743705557422"/>
      </bottom>
      <diagonal/>
    </border>
    <border>
      <left style="thin">
        <color theme="0" tint="-0.14996795556505021"/>
      </left>
      <right style="thin">
        <color theme="0" tint="-0.14996795556505021"/>
      </right>
      <top style="thin">
        <color theme="0" tint="-0.14996795556505021"/>
      </top>
      <bottom/>
      <diagonal/>
    </border>
    <border>
      <left style="thin">
        <color theme="4"/>
      </left>
      <right style="thin">
        <color theme="0"/>
      </right>
      <top style="thin">
        <color auto="1"/>
      </top>
      <bottom style="thin">
        <color theme="4"/>
      </bottom>
      <diagonal/>
    </border>
    <border>
      <left style="thin">
        <color theme="0"/>
      </left>
      <right style="thin">
        <color theme="0"/>
      </right>
      <top style="thin">
        <color auto="1"/>
      </top>
      <bottom style="thin">
        <color theme="4"/>
      </bottom>
      <diagonal/>
    </border>
    <border>
      <left/>
      <right style="thin">
        <color theme="0"/>
      </right>
      <top style="thin">
        <color auto="1"/>
      </top>
      <bottom style="thin">
        <color theme="4"/>
      </bottom>
      <diagonal/>
    </border>
    <border>
      <left style="thin">
        <color theme="1" tint="0.24994659260841701"/>
      </left>
      <right style="thin">
        <color theme="1" tint="0.24994659260841701"/>
      </right>
      <top style="thin">
        <color theme="1" tint="0.24994659260841701"/>
      </top>
      <bottom style="thin">
        <color theme="1" tint="0.24994659260841701"/>
      </bottom>
      <diagonal/>
    </border>
    <border>
      <left/>
      <right style="thin">
        <color theme="1" tint="0.24994659260841701"/>
      </right>
      <top/>
      <bottom/>
      <diagonal/>
    </border>
    <border>
      <left style="thin">
        <color theme="1" tint="0.24994659260841701"/>
      </left>
      <right/>
      <top style="thin">
        <color theme="1" tint="0.24994659260841701"/>
      </top>
      <bottom style="thin">
        <color theme="1" tint="0.24994659260841701"/>
      </bottom>
      <diagonal/>
    </border>
    <border>
      <left/>
      <right/>
      <top style="thin">
        <color theme="1" tint="0.24994659260841701"/>
      </top>
      <bottom style="thin">
        <color theme="1" tint="0.24994659260841701"/>
      </bottom>
      <diagonal/>
    </border>
    <border>
      <left/>
      <right style="thin">
        <color theme="1" tint="0.24994659260841701"/>
      </right>
      <top style="thin">
        <color theme="1" tint="0.24994659260841701"/>
      </top>
      <bottom style="thin">
        <color theme="1" tint="0.24994659260841701"/>
      </bottom>
      <diagonal/>
    </border>
    <border>
      <left style="thin">
        <color theme="1" tint="0.24994659260841701"/>
      </left>
      <right style="thin">
        <color auto="1"/>
      </right>
      <top style="thin">
        <color theme="1" tint="0.24994659260841701"/>
      </top>
      <bottom style="thin">
        <color theme="1" tint="0.24994659260841701"/>
      </bottom>
      <diagonal/>
    </border>
    <border>
      <left style="thin">
        <color auto="1"/>
      </left>
      <right style="thin">
        <color auto="1"/>
      </right>
      <top style="thin">
        <color theme="1" tint="0.24994659260841701"/>
      </top>
      <bottom style="thin">
        <color theme="1" tint="0.24994659260841701"/>
      </bottom>
      <diagonal/>
    </border>
    <border>
      <left style="thin">
        <color auto="1"/>
      </left>
      <right style="thin">
        <color theme="1" tint="0.24994659260841701"/>
      </right>
      <top style="thin">
        <color theme="1" tint="0.24994659260841701"/>
      </top>
      <bottom style="thin">
        <color theme="1" tint="0.24994659260841701"/>
      </bottom>
      <diagonal/>
    </border>
    <border>
      <left style="thin">
        <color rgb="FF002247"/>
      </left>
      <right style="thin">
        <color rgb="FF002247"/>
      </right>
      <top style="thin">
        <color rgb="FF002247"/>
      </top>
      <bottom/>
      <diagonal/>
    </border>
    <border>
      <left style="medium">
        <color theme="0"/>
      </left>
      <right style="medium">
        <color theme="0"/>
      </right>
      <top style="medium">
        <color theme="0"/>
      </top>
      <bottom style="medium">
        <color theme="0"/>
      </bottom>
      <diagonal/>
    </border>
    <border>
      <left style="medium">
        <color theme="0"/>
      </left>
      <right/>
      <top style="medium">
        <color theme="0"/>
      </top>
      <bottom style="medium">
        <color theme="0"/>
      </bottom>
      <diagonal/>
    </border>
    <border>
      <left/>
      <right/>
      <top style="medium">
        <color theme="0"/>
      </top>
      <bottom style="medium">
        <color theme="0"/>
      </bottom>
      <diagonal/>
    </border>
    <border>
      <left/>
      <right style="medium">
        <color theme="0"/>
      </right>
      <top style="medium">
        <color theme="0"/>
      </top>
      <bottom style="medium">
        <color theme="0"/>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diagonal/>
    </border>
    <border>
      <left/>
      <right/>
      <top style="thin">
        <color theme="0" tint="-0.499984740745262"/>
      </top>
      <bottom style="thin">
        <color theme="1" tint="0.24994659260841701"/>
      </bottom>
      <diagonal/>
    </border>
    <border>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diagonal/>
    </border>
    <border>
      <left/>
      <right style="thin">
        <color theme="0" tint="-0.499984740745262"/>
      </right>
      <top/>
      <bottom/>
      <diagonal/>
    </border>
    <border>
      <left style="thin">
        <color theme="0" tint="-0.499984740745262"/>
      </left>
      <right/>
      <top/>
      <bottom style="thin">
        <color theme="0" tint="-0.499984740745262"/>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14993743705557422"/>
      </left>
      <right style="thin">
        <color theme="0" tint="-0.14993743705557422"/>
      </right>
      <top style="thin">
        <color theme="0" tint="-0.14990691854609822"/>
      </top>
      <bottom style="thin">
        <color theme="0" tint="-0.14990691854609822"/>
      </bottom>
      <diagonal/>
    </border>
    <border>
      <left/>
      <right/>
      <top/>
      <bottom style="thin">
        <color theme="0" tint="-0.14993743705557422"/>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thin">
        <color theme="1" tint="0.24994659260841701"/>
      </bottom>
      <diagonal/>
    </border>
    <border>
      <left style="thin">
        <color theme="0" tint="-0.14996795556505021"/>
      </left>
      <right style="thin">
        <color theme="0" tint="-0.14996795556505021"/>
      </right>
      <top style="thin">
        <color theme="1" tint="0.24994659260841701"/>
      </top>
      <bottom style="thin">
        <color theme="0" tint="-0.14996795556505021"/>
      </bottom>
      <diagonal/>
    </border>
    <border>
      <left/>
      <right style="thin">
        <color rgb="FF002247"/>
      </right>
      <top/>
      <bottom/>
      <diagonal/>
    </border>
    <border>
      <left style="thin">
        <color theme="0" tint="-0.499984740745262"/>
      </left>
      <right style="thin">
        <color theme="0" tint="-0.499984740745262"/>
      </right>
      <top/>
      <bottom style="thin">
        <color theme="0" tint="-0.499984740745262"/>
      </bottom>
      <diagonal/>
    </border>
    <border>
      <left/>
      <right/>
      <top style="thin">
        <color theme="0" tint="-0.499984740745262"/>
      </top>
      <bottom style="thin">
        <color theme="0" tint="-0.499984740745262"/>
      </bottom>
      <diagonal/>
    </border>
    <border>
      <left/>
      <right style="thin">
        <color theme="0" tint="-0.24994659260841701"/>
      </right>
      <top/>
      <bottom/>
      <diagonal/>
    </border>
    <border>
      <left/>
      <right/>
      <top style="thin">
        <color theme="0" tint="-0.24994659260841701"/>
      </top>
      <bottom/>
      <diagonal/>
    </border>
    <border>
      <left style="thin">
        <color theme="0" tint="-0.24994659260841701"/>
      </left>
      <right/>
      <top/>
      <bottom/>
      <diagonal/>
    </border>
    <border>
      <left/>
      <right/>
      <top style="thin">
        <color theme="4" tint="0.79998168889431442"/>
      </top>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diagonal/>
    </border>
    <border>
      <left style="medium">
        <color theme="0"/>
      </left>
      <right/>
      <top/>
      <bottom/>
      <diagonal/>
    </border>
    <border>
      <left/>
      <right style="medium">
        <color theme="0"/>
      </right>
      <top/>
      <bottom/>
      <diagonal/>
    </border>
    <border>
      <left style="thin">
        <color theme="1" tint="0.24994659260841701"/>
      </left>
      <right style="thin">
        <color theme="1" tint="0.24994659260841701"/>
      </right>
      <top/>
      <bottom/>
      <diagonal/>
    </border>
    <border>
      <left style="thin">
        <color theme="0" tint="-0.24994659260841701"/>
      </left>
      <right/>
      <top style="thin">
        <color auto="1"/>
      </top>
      <bottom/>
      <diagonal/>
    </border>
    <border>
      <left/>
      <right style="thin">
        <color theme="1" tint="0.24994659260841701"/>
      </right>
      <top style="thin">
        <color auto="1"/>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s>
  <cellStyleXfs count="10">
    <xf numFmtId="0" fontId="0" fillId="0" borderId="0"/>
    <xf numFmtId="43" fontId="2" fillId="0" borderId="0" applyFont="0" applyFill="0" applyBorder="0" applyAlignment="0" applyProtection="0"/>
    <xf numFmtId="9" fontId="2"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44" fontId="2" fillId="0" borderId="0" applyFont="0" applyFill="0" applyBorder="0" applyAlignment="0" applyProtection="0"/>
    <xf numFmtId="0" fontId="146" fillId="0" borderId="0"/>
    <xf numFmtId="43" fontId="146" fillId="0" borderId="0" applyFont="0" applyFill="0" applyBorder="0" applyAlignment="0" applyProtection="0"/>
    <xf numFmtId="9" fontId="146" fillId="0" borderId="0" applyFont="0" applyFill="0" applyBorder="0" applyAlignment="0" applyProtection="0"/>
  </cellStyleXfs>
  <cellXfs count="1158">
    <xf numFmtId="0" fontId="0" fillId="0" borderId="0" xfId="0"/>
    <xf numFmtId="0" fontId="8" fillId="0" borderId="0" xfId="3" applyFont="1" applyAlignment="1">
      <alignment horizontal="right"/>
    </xf>
    <xf numFmtId="0" fontId="10" fillId="0" borderId="0" xfId="0" applyFont="1"/>
    <xf numFmtId="0" fontId="8" fillId="0" borderId="0" xfId="3" quotePrefix="1" applyFont="1" applyAlignment="1">
      <alignment horizontal="left"/>
    </xf>
    <xf numFmtId="0" fontId="9" fillId="0" borderId="0" xfId="0" applyFont="1" applyAlignment="1">
      <alignment horizontal="right"/>
    </xf>
    <xf numFmtId="0" fontId="13" fillId="0" borderId="0" xfId="0" applyFont="1"/>
    <xf numFmtId="0" fontId="20" fillId="2" borderId="0" xfId="0" applyFont="1" applyFill="1" applyBorder="1" applyAlignment="1">
      <alignment horizontal="right" wrapText="1"/>
    </xf>
    <xf numFmtId="3" fontId="20" fillId="2" borderId="0" xfId="0" applyNumberFormat="1" applyFont="1" applyFill="1" applyBorder="1" applyAlignment="1">
      <alignment horizontal="right" wrapText="1"/>
    </xf>
    <xf numFmtId="0" fontId="13" fillId="0" borderId="0" xfId="0" quotePrefix="1" applyFont="1"/>
    <xf numFmtId="0" fontId="13" fillId="0" borderId="0" xfId="0" applyFont="1" applyAlignment="1">
      <alignment vertical="top"/>
    </xf>
    <xf numFmtId="0" fontId="13" fillId="0" borderId="0" xfId="0" applyFont="1" applyAlignment="1">
      <alignment horizontal="left" vertical="top" wrapText="1"/>
    </xf>
    <xf numFmtId="0" fontId="13" fillId="0" borderId="0" xfId="0" applyFont="1" applyFill="1" applyAlignment="1">
      <alignment horizontal="left"/>
    </xf>
    <xf numFmtId="0" fontId="13" fillId="0" borderId="0" xfId="0" applyFont="1" applyFill="1" applyAlignment="1">
      <alignment horizontal="left" vertical="top" wrapText="1"/>
    </xf>
    <xf numFmtId="164" fontId="32" fillId="0" borderId="0" xfId="1" applyNumberFormat="1" applyFont="1"/>
    <xf numFmtId="164" fontId="32" fillId="0" borderId="0" xfId="1" applyNumberFormat="1" applyFont="1" applyAlignment="1">
      <alignment horizontal="center" wrapText="1"/>
    </xf>
    <xf numFmtId="3" fontId="32" fillId="0" borderId="0" xfId="1" applyNumberFormat="1" applyFont="1" applyAlignment="1">
      <alignment horizontal="center"/>
    </xf>
    <xf numFmtId="3" fontId="24" fillId="3" borderId="27" xfId="0" applyNumberFormat="1" applyFont="1" applyFill="1" applyBorder="1" applyAlignment="1">
      <alignment horizontal="center"/>
    </xf>
    <xf numFmtId="164" fontId="32" fillId="0" borderId="0" xfId="1" quotePrefix="1" applyNumberFormat="1" applyFont="1"/>
    <xf numFmtId="164" fontId="32" fillId="0" borderId="0" xfId="1" applyNumberFormat="1" applyFont="1" applyAlignment="1">
      <alignment horizontal="center"/>
    </xf>
    <xf numFmtId="9" fontId="32" fillId="0" borderId="0" xfId="2" applyFont="1" applyAlignment="1">
      <alignment horizontal="center"/>
    </xf>
    <xf numFmtId="3" fontId="32" fillId="0" borderId="0" xfId="2" applyNumberFormat="1" applyFont="1" applyAlignment="1">
      <alignment horizontal="center"/>
    </xf>
    <xf numFmtId="164" fontId="33" fillId="0" borderId="0" xfId="1" applyNumberFormat="1" applyFont="1" applyAlignment="1">
      <alignment horizontal="center"/>
    </xf>
    <xf numFmtId="3" fontId="32" fillId="0" borderId="22" xfId="0" applyNumberFormat="1" applyFont="1" applyBorder="1" applyAlignment="1">
      <alignment horizontal="center" wrapText="1"/>
    </xf>
    <xf numFmtId="3" fontId="32" fillId="0" borderId="0" xfId="0" applyNumberFormat="1" applyFont="1" applyBorder="1" applyAlignment="1">
      <alignment horizontal="center" wrapText="1"/>
    </xf>
    <xf numFmtId="165" fontId="32" fillId="0" borderId="23" xfId="0" applyNumberFormat="1" applyFont="1" applyBorder="1" applyAlignment="1">
      <alignment horizontal="center" wrapText="1"/>
    </xf>
    <xf numFmtId="3" fontId="32" fillId="0" borderId="24" xfId="0" applyNumberFormat="1" applyFont="1" applyBorder="1" applyAlignment="1">
      <alignment horizontal="center" wrapText="1"/>
    </xf>
    <xf numFmtId="3" fontId="32" fillId="0" borderId="25" xfId="0" applyNumberFormat="1" applyFont="1" applyBorder="1" applyAlignment="1">
      <alignment horizontal="center" wrapText="1"/>
    </xf>
    <xf numFmtId="165" fontId="32" fillId="0" borderId="26" xfId="0" applyNumberFormat="1" applyFont="1" applyBorder="1" applyAlignment="1">
      <alignment horizontal="center" wrapText="1"/>
    </xf>
    <xf numFmtId="164" fontId="35" fillId="0" borderId="0" xfId="1" applyNumberFormat="1" applyFont="1"/>
    <xf numFmtId="3" fontId="32" fillId="0" borderId="0" xfId="1" applyNumberFormat="1" applyFont="1" applyAlignment="1"/>
    <xf numFmtId="3" fontId="32" fillId="0" borderId="5" xfId="0" applyNumberFormat="1" applyFont="1" applyBorder="1" applyAlignment="1">
      <alignment horizontal="center" wrapText="1"/>
    </xf>
    <xf numFmtId="9" fontId="32" fillId="0" borderId="0" xfId="0" applyNumberFormat="1" applyFont="1" applyBorder="1" applyAlignment="1">
      <alignment horizontal="center" wrapText="1"/>
    </xf>
    <xf numFmtId="3" fontId="32" fillId="0" borderId="7" xfId="0" applyNumberFormat="1" applyFont="1" applyBorder="1" applyAlignment="1">
      <alignment horizontal="center" wrapText="1"/>
    </xf>
    <xf numFmtId="3" fontId="32" fillId="0" borderId="8" xfId="0" applyNumberFormat="1" applyFont="1" applyBorder="1" applyAlignment="1">
      <alignment horizontal="center" wrapText="1"/>
    </xf>
    <xf numFmtId="9" fontId="32" fillId="0" borderId="8" xfId="0" applyNumberFormat="1" applyFont="1" applyBorder="1" applyAlignment="1">
      <alignment horizontal="center" wrapText="1"/>
    </xf>
    <xf numFmtId="3" fontId="32" fillId="0" borderId="0" xfId="1" applyNumberFormat="1" applyFont="1" applyAlignment="1">
      <alignment horizontal="right"/>
    </xf>
    <xf numFmtId="3" fontId="32" fillId="0" borderId="0" xfId="2" applyNumberFormat="1" applyFont="1" applyAlignment="1">
      <alignment horizontal="right"/>
    </xf>
    <xf numFmtId="3" fontId="32" fillId="0" borderId="0" xfId="6" applyNumberFormat="1" applyFont="1" applyAlignment="1">
      <alignment horizontal="center"/>
    </xf>
    <xf numFmtId="6" fontId="32" fillId="0" borderId="0" xfId="0" applyNumberFormat="1" applyFont="1" applyAlignment="1">
      <alignment horizontal="center" wrapText="1"/>
    </xf>
    <xf numFmtId="9" fontId="32" fillId="0" borderId="0" xfId="0" applyNumberFormat="1" applyFont="1" applyAlignment="1">
      <alignment horizontal="center" wrapText="1"/>
    </xf>
    <xf numFmtId="3" fontId="32" fillId="0" borderId="0" xfId="2" applyNumberFormat="1" applyFont="1" applyAlignment="1">
      <alignment horizontal="left"/>
    </xf>
    <xf numFmtId="0" fontId="32" fillId="0" borderId="0" xfId="0" applyFont="1" applyBorder="1" applyAlignment="1">
      <alignment horizontal="center" wrapText="1"/>
    </xf>
    <xf numFmtId="10" fontId="32" fillId="0" borderId="6" xfId="0" applyNumberFormat="1" applyFont="1" applyBorder="1" applyAlignment="1">
      <alignment horizontal="center" wrapText="1"/>
    </xf>
    <xf numFmtId="10" fontId="32" fillId="0" borderId="9" xfId="0" applyNumberFormat="1" applyFont="1" applyBorder="1" applyAlignment="1">
      <alignment horizontal="center" wrapText="1"/>
    </xf>
    <xf numFmtId="9" fontId="32" fillId="0" borderId="23" xfId="0" applyNumberFormat="1" applyFont="1" applyBorder="1" applyAlignment="1">
      <alignment horizontal="center" wrapText="1"/>
    </xf>
    <xf numFmtId="10" fontId="32" fillId="0" borderId="23" xfId="0" applyNumberFormat="1" applyFont="1" applyBorder="1" applyAlignment="1">
      <alignment horizontal="center" wrapText="1"/>
    </xf>
    <xf numFmtId="9" fontId="32" fillId="0" borderId="26" xfId="0" applyNumberFormat="1" applyFont="1" applyBorder="1" applyAlignment="1">
      <alignment horizontal="center" wrapText="1"/>
    </xf>
    <xf numFmtId="164" fontId="32" fillId="0" borderId="27" xfId="1" applyNumberFormat="1" applyFont="1" applyBorder="1" applyAlignment="1">
      <alignment horizontal="center"/>
    </xf>
    <xf numFmtId="164" fontId="32" fillId="0" borderId="27" xfId="1" applyNumberFormat="1" applyFont="1" applyBorder="1"/>
    <xf numFmtId="3" fontId="32" fillId="0" borderId="27" xfId="1" applyNumberFormat="1" applyFont="1" applyBorder="1" applyAlignment="1">
      <alignment horizontal="center"/>
    </xf>
    <xf numFmtId="3" fontId="32" fillId="0" borderId="27" xfId="1" applyNumberFormat="1" applyFont="1" applyFill="1" applyBorder="1" applyAlignment="1">
      <alignment horizontal="center"/>
    </xf>
    <xf numFmtId="164" fontId="32" fillId="0" borderId="28" xfId="1" applyNumberFormat="1" applyFont="1" applyBorder="1" applyAlignment="1">
      <alignment horizontal="center"/>
    </xf>
    <xf numFmtId="164" fontId="32" fillId="0" borderId="28" xfId="1" applyNumberFormat="1" applyFont="1" applyBorder="1"/>
    <xf numFmtId="3" fontId="32" fillId="0" borderId="28" xfId="1" applyNumberFormat="1" applyFont="1" applyBorder="1" applyAlignment="1">
      <alignment horizontal="center"/>
    </xf>
    <xf numFmtId="165" fontId="18" fillId="0" borderId="0" xfId="2" applyNumberFormat="1" applyFont="1" applyBorder="1" applyAlignment="1" applyProtection="1">
      <alignment horizontal="center"/>
    </xf>
    <xf numFmtId="0" fontId="18" fillId="0" borderId="0" xfId="0" applyFont="1" applyBorder="1" applyAlignment="1" applyProtection="1">
      <alignment horizontal="center"/>
    </xf>
    <xf numFmtId="3" fontId="20" fillId="0" borderId="0" xfId="0" applyNumberFormat="1" applyFont="1" applyBorder="1" applyAlignment="1" applyProtection="1">
      <alignment horizontal="center" vertical="center"/>
    </xf>
    <xf numFmtId="0" fontId="22" fillId="0" borderId="0" xfId="0" applyFont="1" applyFill="1" applyBorder="1" applyAlignment="1" applyProtection="1">
      <alignment horizontal="right" vertical="center"/>
    </xf>
    <xf numFmtId="3" fontId="18" fillId="0" borderId="0" xfId="0" applyNumberFormat="1" applyFont="1" applyBorder="1" applyAlignment="1" applyProtection="1">
      <alignment horizontal="center"/>
    </xf>
    <xf numFmtId="9" fontId="18" fillId="0" borderId="0" xfId="2" applyFont="1" applyBorder="1" applyAlignment="1" applyProtection="1">
      <alignment horizontal="center"/>
    </xf>
    <xf numFmtId="0" fontId="10" fillId="0" borderId="0" xfId="0" applyFont="1" applyProtection="1"/>
    <xf numFmtId="164" fontId="35" fillId="0" borderId="8" xfId="1" applyNumberFormat="1" applyFont="1" applyBorder="1" applyAlignment="1"/>
    <xf numFmtId="0" fontId="13" fillId="0" borderId="0" xfId="0" applyFont="1" applyBorder="1"/>
    <xf numFmtId="9" fontId="32" fillId="0" borderId="6" xfId="0" applyNumberFormat="1" applyFont="1" applyBorder="1" applyAlignment="1">
      <alignment horizontal="center" wrapText="1"/>
    </xf>
    <xf numFmtId="9" fontId="32" fillId="0" borderId="9" xfId="0" applyNumberFormat="1" applyFont="1" applyBorder="1" applyAlignment="1">
      <alignment horizontal="center" wrapText="1"/>
    </xf>
    <xf numFmtId="164" fontId="41" fillId="5" borderId="0" xfId="1" applyNumberFormat="1" applyFont="1" applyFill="1"/>
    <xf numFmtId="3" fontId="32" fillId="0" borderId="1" xfId="1" applyNumberFormat="1" applyFont="1" applyBorder="1" applyAlignment="1">
      <alignment horizontal="center"/>
    </xf>
    <xf numFmtId="3" fontId="32" fillId="0" borderId="31" xfId="1" applyNumberFormat="1" applyFont="1" applyBorder="1" applyAlignment="1">
      <alignment horizontal="center"/>
    </xf>
    <xf numFmtId="3" fontId="32" fillId="0" borderId="32" xfId="1" applyNumberFormat="1" applyFont="1" applyBorder="1" applyAlignment="1">
      <alignment horizontal="center"/>
    </xf>
    <xf numFmtId="164" fontId="32" fillId="3" borderId="27" xfId="1" applyNumberFormat="1" applyFont="1" applyFill="1" applyBorder="1"/>
    <xf numFmtId="3" fontId="24" fillId="0" borderId="28" xfId="0" applyNumberFormat="1" applyFont="1" applyFill="1" applyBorder="1" applyAlignment="1">
      <alignment horizontal="center"/>
    </xf>
    <xf numFmtId="164" fontId="44" fillId="0" borderId="0" xfId="1" applyNumberFormat="1" applyFont="1" applyAlignment="1">
      <alignment horizontal="left" vertical="center"/>
    </xf>
    <xf numFmtId="164" fontId="49" fillId="0" borderId="28" xfId="1" applyNumberFormat="1" applyFont="1" applyBorder="1" applyAlignment="1">
      <alignment horizontal="center"/>
    </xf>
    <xf numFmtId="164" fontId="49" fillId="0" borderId="27" xfId="1" applyNumberFormat="1" applyFont="1" applyBorder="1" applyAlignment="1">
      <alignment horizontal="center"/>
    </xf>
    <xf numFmtId="164" fontId="50" fillId="0" borderId="0" xfId="1" applyNumberFormat="1" applyFont="1" applyAlignment="1">
      <alignment horizontal="center"/>
    </xf>
    <xf numFmtId="166" fontId="49" fillId="0" borderId="27" xfId="1" applyNumberFormat="1" applyFont="1" applyBorder="1" applyAlignment="1">
      <alignment horizontal="center"/>
    </xf>
    <xf numFmtId="164" fontId="32" fillId="0" borderId="0" xfId="1" applyNumberFormat="1" applyFont="1" applyAlignment="1">
      <alignment horizontal="left"/>
    </xf>
    <xf numFmtId="0" fontId="32" fillId="0" borderId="0" xfId="2" applyNumberFormat="1" applyFont="1" applyAlignment="1">
      <alignment horizontal="center"/>
    </xf>
    <xf numFmtId="0" fontId="51" fillId="6" borderId="1" xfId="0" applyFont="1" applyFill="1" applyBorder="1" applyAlignment="1">
      <alignment horizontal="center"/>
    </xf>
    <xf numFmtId="0" fontId="15" fillId="0" borderId="0" xfId="0" applyFont="1" applyAlignment="1">
      <alignment vertical="top"/>
    </xf>
    <xf numFmtId="0" fontId="10" fillId="0" borderId="0" xfId="0" applyFont="1" applyProtection="1">
      <protection locked="0"/>
    </xf>
    <xf numFmtId="3" fontId="24" fillId="0" borderId="28" xfId="1" applyNumberFormat="1" applyFont="1" applyBorder="1" applyAlignment="1">
      <alignment horizontal="center"/>
    </xf>
    <xf numFmtId="3" fontId="24" fillId="0" borderId="27" xfId="1" applyNumberFormat="1" applyFont="1" applyBorder="1" applyAlignment="1">
      <alignment horizontal="center"/>
    </xf>
    <xf numFmtId="164" fontId="24" fillId="0" borderId="27" xfId="1" applyNumberFormat="1" applyFont="1" applyBorder="1" applyAlignment="1">
      <alignment horizontal="center"/>
    </xf>
    <xf numFmtId="164" fontId="32" fillId="0" borderId="27" xfId="1" applyNumberFormat="1" applyFont="1" applyFill="1" applyBorder="1" applyAlignment="1">
      <alignment horizontal="center"/>
    </xf>
    <xf numFmtId="3" fontId="24" fillId="9" borderId="27" xfId="0" applyNumberFormat="1" applyFont="1" applyFill="1" applyBorder="1" applyAlignment="1">
      <alignment horizontal="center"/>
    </xf>
    <xf numFmtId="3" fontId="24" fillId="9" borderId="27" xfId="1" applyNumberFormat="1" applyFont="1" applyFill="1" applyBorder="1" applyAlignment="1">
      <alignment horizontal="center"/>
    </xf>
    <xf numFmtId="164" fontId="24" fillId="9" borderId="27" xfId="1" applyNumberFormat="1" applyFont="1" applyFill="1" applyBorder="1"/>
    <xf numFmtId="3" fontId="32" fillId="10" borderId="0" xfId="1" applyNumberFormat="1" applyFont="1" applyFill="1" applyAlignment="1">
      <alignment horizontal="center"/>
    </xf>
    <xf numFmtId="164" fontId="32" fillId="9" borderId="0" xfId="1" applyNumberFormat="1" applyFont="1" applyFill="1"/>
    <xf numFmtId="3" fontId="31" fillId="6" borderId="4" xfId="1" applyNumberFormat="1" applyFont="1" applyFill="1" applyBorder="1" applyAlignment="1">
      <alignment horizontal="center" wrapText="1"/>
    </xf>
    <xf numFmtId="3" fontId="57" fillId="0" borderId="22" xfId="0" applyNumberFormat="1" applyFont="1" applyBorder="1" applyAlignment="1">
      <alignment wrapText="1"/>
    </xf>
    <xf numFmtId="3" fontId="57" fillId="0" borderId="0" xfId="0" applyNumberFormat="1" applyFont="1" applyBorder="1" applyAlignment="1">
      <alignment wrapText="1"/>
    </xf>
    <xf numFmtId="6" fontId="57" fillId="0" borderId="0" xfId="0" applyNumberFormat="1" applyFont="1" applyBorder="1" applyAlignment="1">
      <alignment wrapText="1"/>
    </xf>
    <xf numFmtId="10" fontId="57" fillId="0" borderId="23" xfId="0" applyNumberFormat="1" applyFont="1" applyBorder="1" applyAlignment="1">
      <alignment wrapText="1"/>
    </xf>
    <xf numFmtId="3" fontId="57" fillId="0" borderId="24" xfId="0" applyNumberFormat="1" applyFont="1" applyBorder="1" applyAlignment="1">
      <alignment wrapText="1"/>
    </xf>
    <xf numFmtId="3" fontId="57" fillId="0" borderId="25" xfId="0" applyNumberFormat="1" applyFont="1" applyBorder="1" applyAlignment="1">
      <alignment wrapText="1"/>
    </xf>
    <xf numFmtId="6" fontId="57" fillId="0" borderId="25" xfId="0" applyNumberFormat="1" applyFont="1" applyBorder="1" applyAlignment="1">
      <alignment wrapText="1"/>
    </xf>
    <xf numFmtId="10" fontId="57" fillId="0" borderId="26" xfId="0" applyNumberFormat="1" applyFont="1" applyBorder="1" applyAlignment="1">
      <alignment wrapText="1"/>
    </xf>
    <xf numFmtId="0" fontId="32" fillId="9" borderId="37" xfId="0" applyFont="1" applyFill="1" applyBorder="1" applyAlignment="1">
      <alignment horizontal="center" wrapText="1"/>
    </xf>
    <xf numFmtId="0" fontId="32" fillId="9" borderId="38" xfId="0" applyFont="1" applyFill="1" applyBorder="1" applyAlignment="1">
      <alignment horizontal="center" wrapText="1"/>
    </xf>
    <xf numFmtId="0" fontId="32" fillId="9" borderId="39" xfId="0" applyFont="1" applyFill="1" applyBorder="1" applyAlignment="1">
      <alignment horizontal="center" wrapText="1"/>
    </xf>
    <xf numFmtId="0" fontId="32" fillId="9" borderId="10" xfId="0" applyFont="1" applyFill="1" applyBorder="1" applyAlignment="1"/>
    <xf numFmtId="0" fontId="32" fillId="9" borderId="11" xfId="0" applyFont="1" applyFill="1" applyBorder="1" applyAlignment="1"/>
    <xf numFmtId="3" fontId="32" fillId="9" borderId="11" xfId="0" applyNumberFormat="1" applyFont="1" applyFill="1" applyBorder="1" applyAlignment="1">
      <alignment horizontal="center" wrapText="1"/>
    </xf>
    <xf numFmtId="0" fontId="32" fillId="9" borderId="12" xfId="0" applyFont="1" applyFill="1" applyBorder="1" applyAlignment="1">
      <alignment horizontal="center" wrapText="1"/>
    </xf>
    <xf numFmtId="0" fontId="58" fillId="0" borderId="0" xfId="0" applyFont="1" applyAlignment="1">
      <alignment horizontal="center"/>
    </xf>
    <xf numFmtId="0" fontId="59" fillId="0" borderId="0" xfId="0" applyFont="1"/>
    <xf numFmtId="0" fontId="58" fillId="0" borderId="0" xfId="0" applyFont="1"/>
    <xf numFmtId="0" fontId="58" fillId="0" borderId="0" xfId="0" applyFont="1" applyAlignment="1">
      <alignment wrapText="1"/>
    </xf>
    <xf numFmtId="1" fontId="8" fillId="0" borderId="0" xfId="0" quotePrefix="1" applyNumberFormat="1" applyFont="1" applyFill="1" applyBorder="1" applyAlignment="1" applyProtection="1">
      <alignment horizontal="center"/>
    </xf>
    <xf numFmtId="0" fontId="16" fillId="0" borderId="0" xfId="0" applyFont="1" applyFill="1" applyBorder="1" applyAlignment="1">
      <alignment vertical="center"/>
    </xf>
    <xf numFmtId="37" fontId="65" fillId="0" borderId="0" xfId="1" applyNumberFormat="1" applyFont="1" applyBorder="1" applyAlignment="1" applyProtection="1">
      <alignment horizontal="center" vertical="center"/>
    </xf>
    <xf numFmtId="0" fontId="55" fillId="0" borderId="0" xfId="0" applyFont="1"/>
    <xf numFmtId="9" fontId="20" fillId="0" borderId="0" xfId="2" applyFont="1" applyBorder="1" applyAlignment="1">
      <alignment horizontal="center"/>
    </xf>
    <xf numFmtId="165" fontId="20" fillId="0" borderId="0" xfId="2" applyNumberFormat="1" applyFont="1" applyBorder="1" applyAlignment="1">
      <alignment horizontal="center"/>
    </xf>
    <xf numFmtId="0" fontId="75" fillId="0" borderId="0" xfId="0" applyFont="1" applyAlignment="1">
      <alignment vertical="top"/>
    </xf>
    <xf numFmtId="9" fontId="18" fillId="0" borderId="0" xfId="2" applyFont="1" applyBorder="1" applyAlignment="1" applyProtection="1">
      <alignment horizontal="center" vertical="top"/>
    </xf>
    <xf numFmtId="0" fontId="64" fillId="0" borderId="0" xfId="0" applyFont="1" applyFill="1" applyAlignment="1">
      <alignment horizontal="center"/>
    </xf>
    <xf numFmtId="0" fontId="79" fillId="0" borderId="0" xfId="0" applyFont="1"/>
    <xf numFmtId="0" fontId="81" fillId="0" borderId="0" xfId="0" applyFont="1"/>
    <xf numFmtId="9" fontId="18" fillId="0" borderId="0" xfId="2" applyFont="1" applyFill="1" applyBorder="1" applyAlignment="1" applyProtection="1">
      <alignment horizontal="center"/>
    </xf>
    <xf numFmtId="0" fontId="64" fillId="0" borderId="0" xfId="0" applyFont="1" applyAlignment="1">
      <alignment horizontal="center"/>
    </xf>
    <xf numFmtId="164" fontId="32" fillId="0" borderId="12" xfId="1" applyNumberFormat="1" applyFont="1" applyFill="1" applyBorder="1" applyAlignment="1">
      <alignment horizontal="center" wrapText="1"/>
    </xf>
    <xf numFmtId="164" fontId="32" fillId="0" borderId="1" xfId="1" applyNumberFormat="1" applyFont="1" applyFill="1" applyBorder="1" applyAlignment="1">
      <alignment horizontal="center" wrapText="1"/>
    </xf>
    <xf numFmtId="164" fontId="32" fillId="0" borderId="0" xfId="1" applyNumberFormat="1" applyFont="1" applyFill="1" applyBorder="1" applyAlignment="1">
      <alignment horizontal="center" wrapText="1"/>
    </xf>
    <xf numFmtId="38" fontId="64" fillId="0" borderId="0" xfId="1" applyNumberFormat="1" applyFont="1" applyAlignment="1">
      <alignment horizontal="center"/>
    </xf>
    <xf numFmtId="3" fontId="62" fillId="0" borderId="0" xfId="0" applyNumberFormat="1" applyFont="1" applyBorder="1" applyAlignment="1" applyProtection="1">
      <alignment horizontal="center" vertical="center"/>
    </xf>
    <xf numFmtId="0" fontId="13" fillId="0" borderId="0" xfId="0" applyFont="1" applyProtection="1"/>
    <xf numFmtId="3" fontId="83" fillId="0" borderId="0" xfId="0" applyNumberFormat="1" applyFont="1" applyBorder="1" applyAlignment="1" applyProtection="1">
      <alignment horizontal="center" vertical="center"/>
    </xf>
    <xf numFmtId="3" fontId="65" fillId="0" borderId="1" xfId="1" applyNumberFormat="1" applyFont="1" applyBorder="1" applyAlignment="1" applyProtection="1">
      <alignment horizontal="center"/>
    </xf>
    <xf numFmtId="0" fontId="40" fillId="0" borderId="0" xfId="0" applyFont="1" applyAlignment="1" applyProtection="1">
      <alignment horizontal="right" vertical="center"/>
    </xf>
    <xf numFmtId="3" fontId="65" fillId="0" borderId="19" xfId="1" applyNumberFormat="1" applyFont="1" applyBorder="1" applyAlignment="1" applyProtection="1">
      <alignment horizontal="center"/>
    </xf>
    <xf numFmtId="0" fontId="40" fillId="0" borderId="5" xfId="0" applyFont="1" applyBorder="1" applyAlignment="1" applyProtection="1">
      <alignment horizontal="right" vertical="center"/>
    </xf>
    <xf numFmtId="10" fontId="65" fillId="0" borderId="20" xfId="1" applyNumberFormat="1" applyFont="1" applyBorder="1" applyAlignment="1" applyProtection="1">
      <alignment horizontal="center"/>
    </xf>
    <xf numFmtId="3" fontId="65" fillId="0" borderId="20" xfId="1" applyNumberFormat="1" applyFont="1" applyBorder="1" applyAlignment="1" applyProtection="1">
      <alignment horizontal="center"/>
    </xf>
    <xf numFmtId="0" fontId="55" fillId="0" borderId="0" xfId="0" applyFont="1" applyProtection="1"/>
    <xf numFmtId="4" fontId="71" fillId="0" borderId="21" xfId="1" applyNumberFormat="1" applyFont="1" applyBorder="1" applyAlignment="1" applyProtection="1">
      <alignment horizontal="center"/>
    </xf>
    <xf numFmtId="0" fontId="55" fillId="0" borderId="0" xfId="0" applyFont="1" applyBorder="1" applyProtection="1"/>
    <xf numFmtId="3" fontId="24" fillId="9" borderId="0" xfId="1" applyNumberFormat="1" applyFont="1" applyFill="1" applyAlignment="1">
      <alignment horizontal="center"/>
    </xf>
    <xf numFmtId="164" fontId="61" fillId="0" borderId="28" xfId="1" applyNumberFormat="1" applyFont="1" applyBorder="1" applyAlignment="1">
      <alignment horizontal="center"/>
    </xf>
    <xf numFmtId="164" fontId="61" fillId="0" borderId="27" xfId="1" applyNumberFormat="1" applyFont="1" applyBorder="1" applyAlignment="1">
      <alignment horizontal="center"/>
    </xf>
    <xf numFmtId="164" fontId="61" fillId="0" borderId="27" xfId="1" applyNumberFormat="1" applyFont="1" applyFill="1" applyBorder="1" applyAlignment="1">
      <alignment horizontal="center"/>
    </xf>
    <xf numFmtId="164" fontId="61" fillId="0" borderId="30" xfId="1" applyNumberFormat="1" applyFont="1" applyFill="1" applyBorder="1" applyAlignment="1">
      <alignment horizontal="center"/>
    </xf>
    <xf numFmtId="164" fontId="61" fillId="0" borderId="27" xfId="1" applyNumberFormat="1" applyFont="1" applyFill="1" applyBorder="1" applyAlignment="1">
      <alignment horizontal="right"/>
    </xf>
    <xf numFmtId="3" fontId="24" fillId="0" borderId="32" xfId="1" applyNumberFormat="1" applyFont="1" applyBorder="1" applyAlignment="1">
      <alignment horizontal="center"/>
    </xf>
    <xf numFmtId="165" fontId="32" fillId="0" borderId="0" xfId="0" applyNumberFormat="1" applyFont="1" applyBorder="1" applyAlignment="1">
      <alignment horizontal="center" wrapText="1"/>
    </xf>
    <xf numFmtId="10" fontId="32" fillId="0" borderId="0" xfId="0" applyNumberFormat="1" applyFont="1" applyBorder="1" applyAlignment="1">
      <alignment horizontal="center" wrapText="1"/>
    </xf>
    <xf numFmtId="10" fontId="57" fillId="0" borderId="0" xfId="0" applyNumberFormat="1" applyFont="1" applyBorder="1" applyAlignment="1">
      <alignment wrapText="1"/>
    </xf>
    <xf numFmtId="0" fontId="32" fillId="0" borderId="0" xfId="0" applyFont="1" applyFill="1" applyBorder="1" applyAlignment="1">
      <alignment horizontal="center" wrapText="1"/>
    </xf>
    <xf numFmtId="3" fontId="32" fillId="0" borderId="0" xfId="1" applyNumberFormat="1" applyFont="1" applyFill="1" applyBorder="1" applyAlignment="1">
      <alignment horizontal="center"/>
    </xf>
    <xf numFmtId="164" fontId="16" fillId="0" borderId="0" xfId="1" applyNumberFormat="1" applyFont="1" applyFill="1" applyAlignment="1">
      <alignment horizontal="center" vertical="center"/>
    </xf>
    <xf numFmtId="164" fontId="42" fillId="0" borderId="0" xfId="1" applyNumberFormat="1" applyFont="1" applyFill="1" applyBorder="1" applyAlignment="1">
      <alignment horizontal="center" vertical="top" wrapText="1"/>
    </xf>
    <xf numFmtId="164" fontId="53" fillId="0" borderId="0" xfId="1" applyNumberFormat="1" applyFont="1" applyFill="1" applyBorder="1" applyAlignment="1">
      <alignment horizontal="center" vertical="center"/>
    </xf>
    <xf numFmtId="3" fontId="24" fillId="0" borderId="0" xfId="0" applyNumberFormat="1" applyFont="1" applyFill="1" applyBorder="1" applyAlignment="1">
      <alignment horizontal="center"/>
    </xf>
    <xf numFmtId="3" fontId="24" fillId="0" borderId="0" xfId="1" applyNumberFormat="1" applyFont="1" applyFill="1" applyBorder="1" applyAlignment="1">
      <alignment horizontal="center"/>
    </xf>
    <xf numFmtId="3" fontId="32" fillId="0" borderId="1" xfId="1" applyNumberFormat="1" applyFont="1" applyFill="1" applyBorder="1" applyAlignment="1">
      <alignment horizontal="center" wrapText="1"/>
    </xf>
    <xf numFmtId="3" fontId="32" fillId="0" borderId="12" xfId="1" applyNumberFormat="1" applyFont="1" applyFill="1" applyBorder="1" applyAlignment="1">
      <alignment horizontal="center" wrapText="1"/>
    </xf>
    <xf numFmtId="1" fontId="8" fillId="0" borderId="0" xfId="0" quotePrefix="1" applyNumberFormat="1" applyFont="1" applyFill="1" applyBorder="1" applyAlignment="1" applyProtection="1">
      <alignment horizontal="center" vertical="center"/>
    </xf>
    <xf numFmtId="38" fontId="64" fillId="0" borderId="0" xfId="0" applyNumberFormat="1" applyFont="1" applyAlignment="1">
      <alignment horizontal="center"/>
    </xf>
    <xf numFmtId="0" fontId="64" fillId="0" borderId="0" xfId="0" applyFont="1" applyAlignment="1">
      <alignment horizontal="center" vertical="top"/>
    </xf>
    <xf numFmtId="165" fontId="91" fillId="0" borderId="0" xfId="2" applyNumberFormat="1" applyFont="1" applyAlignment="1">
      <alignment horizontal="center" vertical="top"/>
    </xf>
    <xf numFmtId="0" fontId="91" fillId="0" borderId="0" xfId="0" applyFont="1" applyAlignment="1">
      <alignment horizontal="center" vertical="top"/>
    </xf>
    <xf numFmtId="0" fontId="64" fillId="0" borderId="0" xfId="0" applyFont="1" applyAlignment="1">
      <alignment vertical="top"/>
    </xf>
    <xf numFmtId="3" fontId="32" fillId="0" borderId="0" xfId="1" quotePrefix="1" applyNumberFormat="1" applyFont="1" applyFill="1" applyBorder="1" applyAlignment="1">
      <alignment horizontal="center"/>
    </xf>
    <xf numFmtId="3" fontId="24" fillId="0" borderId="0" xfId="0" quotePrefix="1" applyNumberFormat="1" applyFont="1" applyFill="1" applyBorder="1" applyAlignment="1">
      <alignment horizontal="center"/>
    </xf>
    <xf numFmtId="3" fontId="95" fillId="0" borderId="28" xfId="0" applyNumberFormat="1" applyFont="1" applyBorder="1" applyAlignment="1" applyProtection="1">
      <alignment horizontal="center"/>
      <protection locked="0"/>
    </xf>
    <xf numFmtId="3" fontId="95" fillId="0" borderId="27" xfId="1" applyNumberFormat="1" applyFont="1" applyBorder="1" applyAlignment="1" applyProtection="1">
      <alignment horizontal="center"/>
      <protection locked="0"/>
    </xf>
    <xf numFmtId="3" fontId="95" fillId="0" borderId="27" xfId="0" applyNumberFormat="1" applyFont="1" applyBorder="1" applyAlignment="1" applyProtection="1">
      <alignment horizontal="center"/>
      <protection locked="0"/>
    </xf>
    <xf numFmtId="3" fontId="95" fillId="0" borderId="44" xfId="0" applyNumberFormat="1" applyFont="1" applyBorder="1" applyAlignment="1" applyProtection="1">
      <alignment horizontal="center"/>
      <protection locked="0"/>
    </xf>
    <xf numFmtId="3" fontId="95" fillId="0" borderId="30" xfId="1" applyNumberFormat="1" applyFont="1" applyBorder="1" applyAlignment="1" applyProtection="1">
      <alignment horizontal="center"/>
      <protection locked="0"/>
    </xf>
    <xf numFmtId="3" fontId="95" fillId="0" borderId="30" xfId="0" applyNumberFormat="1" applyFont="1" applyBorder="1" applyAlignment="1" applyProtection="1">
      <alignment horizontal="center"/>
      <protection locked="0"/>
    </xf>
    <xf numFmtId="1" fontId="95" fillId="0" borderId="27" xfId="0" applyNumberFormat="1" applyFont="1" applyBorder="1" applyAlignment="1">
      <alignment horizontal="center"/>
    </xf>
    <xf numFmtId="0" fontId="58" fillId="0" borderId="0" xfId="0" applyFont="1" applyBorder="1" applyAlignment="1">
      <alignment wrapText="1"/>
    </xf>
    <xf numFmtId="164" fontId="24" fillId="3" borderId="27" xfId="1" applyNumberFormat="1" applyFont="1" applyFill="1" applyBorder="1"/>
    <xf numFmtId="9" fontId="32" fillId="10" borderId="1" xfId="2" applyFont="1" applyFill="1" applyBorder="1" applyAlignment="1">
      <alignment horizontal="center" vertical="center"/>
    </xf>
    <xf numFmtId="164" fontId="32" fillId="0" borderId="0" xfId="1" applyNumberFormat="1" applyFont="1" applyAlignment="1">
      <alignment vertical="center"/>
    </xf>
    <xf numFmtId="3" fontId="30" fillId="9" borderId="27" xfId="0" quotePrefix="1" applyNumberFormat="1" applyFont="1" applyFill="1" applyBorder="1" applyAlignment="1">
      <alignment horizontal="center"/>
    </xf>
    <xf numFmtId="38" fontId="64" fillId="0" borderId="0" xfId="1" applyNumberFormat="1" applyFont="1" applyFill="1" applyAlignment="1">
      <alignment horizontal="center"/>
    </xf>
    <xf numFmtId="38" fontId="58" fillId="0" borderId="0" xfId="0" applyNumberFormat="1" applyFont="1" applyAlignment="1">
      <alignment horizontal="center"/>
    </xf>
    <xf numFmtId="38" fontId="58" fillId="0" borderId="0" xfId="0" applyNumberFormat="1" applyFont="1"/>
    <xf numFmtId="3" fontId="61" fillId="0" borderId="5" xfId="0" applyNumberFormat="1" applyFont="1" applyBorder="1" applyAlignment="1" applyProtection="1">
      <alignment horizontal="center"/>
    </xf>
    <xf numFmtId="0" fontId="53" fillId="0" borderId="49" xfId="0" applyFont="1" applyFill="1" applyBorder="1" applyAlignment="1" applyProtection="1">
      <alignment vertical="center"/>
    </xf>
    <xf numFmtId="38" fontId="60" fillId="0" borderId="0" xfId="0" applyNumberFormat="1" applyFont="1" applyBorder="1" applyAlignment="1">
      <alignment horizontal="center"/>
    </xf>
    <xf numFmtId="0" fontId="95" fillId="0" borderId="27" xfId="0" applyFont="1" applyBorder="1" applyAlignment="1">
      <alignment horizontal="center"/>
    </xf>
    <xf numFmtId="0" fontId="95" fillId="0" borderId="28" xfId="0" applyFont="1" applyBorder="1" applyAlignment="1">
      <alignment horizontal="center"/>
    </xf>
    <xf numFmtId="1" fontId="95" fillId="0" borderId="28" xfId="0" applyNumberFormat="1" applyFont="1" applyBorder="1" applyAlignment="1">
      <alignment horizontal="center"/>
    </xf>
    <xf numFmtId="3" fontId="84" fillId="0" borderId="5" xfId="0" applyNumberFormat="1" applyFont="1" applyFill="1" applyBorder="1" applyAlignment="1" applyProtection="1">
      <alignment horizontal="center" vertical="center"/>
    </xf>
    <xf numFmtId="0" fontId="0" fillId="0" borderId="0" xfId="0" applyProtection="1"/>
    <xf numFmtId="0" fontId="104" fillId="0" borderId="0" xfId="0" applyFont="1" applyAlignment="1" applyProtection="1">
      <alignment horizontal="center"/>
    </xf>
    <xf numFmtId="0" fontId="31" fillId="0" borderId="0" xfId="0" applyFont="1" applyFill="1" applyBorder="1" applyAlignment="1" applyProtection="1">
      <alignment vertical="center"/>
    </xf>
    <xf numFmtId="0" fontId="68" fillId="0" borderId="0" xfId="0" applyFont="1" applyAlignment="1" applyProtection="1">
      <alignment vertical="center"/>
    </xf>
    <xf numFmtId="0" fontId="14" fillId="0" borderId="0" xfId="0" applyFont="1" applyProtection="1"/>
    <xf numFmtId="0" fontId="87" fillId="0" borderId="0" xfId="0" quotePrefix="1" applyFont="1" applyFill="1" applyBorder="1" applyAlignment="1" applyProtection="1"/>
    <xf numFmtId="0" fontId="13" fillId="0" borderId="0" xfId="0" applyFont="1" applyFill="1" applyProtection="1"/>
    <xf numFmtId="3" fontId="18" fillId="0" borderId="0" xfId="0" applyNumberFormat="1" applyFont="1" applyBorder="1" applyAlignment="1" applyProtection="1">
      <alignment horizontal="center" vertical="center"/>
    </xf>
    <xf numFmtId="0" fontId="40" fillId="0" borderId="0" xfId="0" applyFont="1" applyFill="1" applyBorder="1" applyAlignment="1" applyProtection="1">
      <alignment vertical="center"/>
    </xf>
    <xf numFmtId="0" fontId="20" fillId="0" borderId="0" xfId="0" applyFont="1" applyFill="1" applyBorder="1" applyAlignment="1" applyProtection="1">
      <alignment horizontal="right" vertical="center"/>
    </xf>
    <xf numFmtId="0" fontId="20" fillId="0" borderId="0" xfId="0" applyFont="1" applyBorder="1" applyAlignment="1" applyProtection="1">
      <alignment vertical="center"/>
    </xf>
    <xf numFmtId="0" fontId="36" fillId="0" borderId="0" xfId="0" applyFont="1" applyFill="1" applyBorder="1" applyAlignment="1" applyProtection="1">
      <alignment horizontal="right" vertical="center"/>
    </xf>
    <xf numFmtId="0" fontId="0" fillId="0" borderId="0" xfId="0" applyFill="1" applyBorder="1" applyProtection="1"/>
    <xf numFmtId="37" fontId="26" fillId="0" borderId="0" xfId="1" quotePrefix="1" applyNumberFormat="1" applyFont="1" applyFill="1" applyBorder="1" applyAlignment="1" applyProtection="1">
      <alignment horizontal="center" vertical="center"/>
    </xf>
    <xf numFmtId="0" fontId="47" fillId="0" borderId="0" xfId="0" applyFont="1" applyFill="1" applyBorder="1" applyAlignment="1" applyProtection="1">
      <alignment horizontal="center" vertical="center"/>
    </xf>
    <xf numFmtId="0" fontId="109" fillId="0" borderId="0" xfId="0" applyFont="1" applyFill="1" applyBorder="1" applyAlignment="1" applyProtection="1">
      <alignment horizontal="center" vertical="center"/>
    </xf>
    <xf numFmtId="0" fontId="87" fillId="0" borderId="0" xfId="0" applyFont="1" applyFill="1" applyBorder="1" applyAlignment="1" applyProtection="1">
      <alignment vertical="center"/>
    </xf>
    <xf numFmtId="0" fontId="53" fillId="0" borderId="0" xfId="0" applyFont="1" applyFill="1" applyBorder="1" applyAlignment="1" applyProtection="1">
      <alignment horizontal="right" vertical="center"/>
    </xf>
    <xf numFmtId="0" fontId="87" fillId="0" borderId="0" xfId="0" applyFont="1" applyFill="1" applyBorder="1" applyAlignment="1" applyProtection="1">
      <alignment horizontal="center" vertical="center"/>
    </xf>
    <xf numFmtId="0" fontId="53" fillId="0" borderId="60" xfId="0" applyFont="1" applyFill="1" applyBorder="1" applyAlignment="1" applyProtection="1">
      <alignment horizontal="right" vertical="center"/>
    </xf>
    <xf numFmtId="0" fontId="0" fillId="0" borderId="60" xfId="0" applyBorder="1" applyProtection="1"/>
    <xf numFmtId="0" fontId="36" fillId="0" borderId="60" xfId="0" applyFont="1" applyFill="1" applyBorder="1" applyAlignment="1" applyProtection="1">
      <alignment horizontal="right" vertical="center"/>
    </xf>
    <xf numFmtId="0" fontId="0" fillId="0" borderId="60" xfId="0" applyFill="1" applyBorder="1" applyProtection="1"/>
    <xf numFmtId="37" fontId="26" fillId="0" borderId="60" xfId="1" quotePrefix="1" applyNumberFormat="1" applyFont="1" applyFill="1" applyBorder="1" applyAlignment="1" applyProtection="1">
      <alignment horizontal="center" vertical="center"/>
    </xf>
    <xf numFmtId="0" fontId="47" fillId="0" borderId="60" xfId="0" applyFont="1" applyFill="1" applyBorder="1" applyAlignment="1" applyProtection="1">
      <alignment horizontal="center" vertical="center"/>
    </xf>
    <xf numFmtId="0" fontId="87" fillId="0" borderId="60" xfId="0" applyFont="1" applyFill="1" applyBorder="1" applyAlignment="1" applyProtection="1">
      <alignment horizontal="center" vertical="center"/>
    </xf>
    <xf numFmtId="0" fontId="87" fillId="0" borderId="61" xfId="0" applyFont="1" applyFill="1" applyBorder="1" applyAlignment="1" applyProtection="1">
      <alignment horizontal="center" vertical="center"/>
    </xf>
    <xf numFmtId="0" fontId="0" fillId="0" borderId="0" xfId="0" applyBorder="1" applyProtection="1"/>
    <xf numFmtId="0" fontId="84" fillId="0" borderId="0" xfId="0" applyFont="1" applyFill="1" applyBorder="1" applyAlignment="1" applyProtection="1">
      <alignment vertical="center"/>
    </xf>
    <xf numFmtId="0" fontId="84" fillId="0" borderId="63" xfId="0" applyFont="1" applyFill="1" applyBorder="1" applyAlignment="1" applyProtection="1">
      <alignment vertical="center"/>
    </xf>
    <xf numFmtId="0" fontId="88" fillId="0" borderId="0" xfId="0" applyFont="1" applyFill="1" applyBorder="1" applyAlignment="1" applyProtection="1">
      <alignment horizontal="center" vertical="center"/>
    </xf>
    <xf numFmtId="0" fontId="99" fillId="0" borderId="0" xfId="0" applyFont="1" applyFill="1" applyBorder="1" applyAlignment="1" applyProtection="1">
      <alignment horizontal="right" vertical="center"/>
    </xf>
    <xf numFmtId="0" fontId="0" fillId="0" borderId="63" xfId="0" applyFill="1" applyBorder="1" applyProtection="1"/>
    <xf numFmtId="0" fontId="0" fillId="0" borderId="65" xfId="0" applyBorder="1" applyProtection="1"/>
    <xf numFmtId="0" fontId="48" fillId="0" borderId="65" xfId="0" applyFont="1" applyFill="1" applyBorder="1" applyAlignment="1" applyProtection="1">
      <alignment horizontal="center" vertical="center"/>
    </xf>
    <xf numFmtId="0" fontId="48" fillId="0" borderId="0" xfId="0" applyFont="1" applyFill="1" applyBorder="1" applyAlignment="1" applyProtection="1">
      <alignment horizontal="center" vertical="center"/>
    </xf>
    <xf numFmtId="3" fontId="18" fillId="7" borderId="0" xfId="0" applyNumberFormat="1" applyFont="1" applyFill="1" applyBorder="1" applyAlignment="1" applyProtection="1">
      <alignment horizontal="center" vertical="center"/>
    </xf>
    <xf numFmtId="0" fontId="30" fillId="0" borderId="0" xfId="0" applyFont="1" applyFill="1" applyBorder="1" applyAlignment="1" applyProtection="1">
      <alignment horizontal="left" vertical="center"/>
    </xf>
    <xf numFmtId="0" fontId="28" fillId="0" borderId="0" xfId="0" applyFont="1" applyAlignment="1" applyProtection="1">
      <alignment vertical="center"/>
    </xf>
    <xf numFmtId="0" fontId="14" fillId="0" borderId="0" xfId="0" applyFont="1" applyAlignment="1" applyProtection="1">
      <alignment vertical="center"/>
    </xf>
    <xf numFmtId="9" fontId="18" fillId="0" borderId="0" xfId="2" applyFont="1" applyBorder="1" applyAlignment="1" applyProtection="1">
      <alignment horizontal="center" vertical="center"/>
    </xf>
    <xf numFmtId="0" fontId="20" fillId="0" borderId="0" xfId="0" applyFont="1" applyBorder="1" applyAlignment="1" applyProtection="1">
      <alignment horizontal="center" vertical="center" wrapText="1"/>
    </xf>
    <xf numFmtId="0" fontId="13" fillId="0" borderId="0" xfId="0" applyFont="1" applyAlignment="1" applyProtection="1">
      <alignment vertical="center"/>
    </xf>
    <xf numFmtId="0" fontId="25" fillId="0" borderId="0" xfId="0" applyFont="1" applyFill="1" applyBorder="1" applyAlignment="1" applyProtection="1">
      <alignment horizontal="center" vertical="center" wrapText="1"/>
    </xf>
    <xf numFmtId="0" fontId="14" fillId="0" borderId="0" xfId="0" applyFont="1" applyAlignment="1" applyProtection="1">
      <alignment horizontal="center"/>
    </xf>
    <xf numFmtId="0" fontId="19" fillId="0" borderId="0" xfId="0" applyFont="1" applyAlignment="1" applyProtection="1">
      <alignment horizontal="center"/>
    </xf>
    <xf numFmtId="0" fontId="19" fillId="0" borderId="0" xfId="0" applyFont="1" applyProtection="1"/>
    <xf numFmtId="0" fontId="19" fillId="0" borderId="0" xfId="0" applyFont="1" applyBorder="1" applyAlignment="1" applyProtection="1">
      <alignment horizontal="center"/>
    </xf>
    <xf numFmtId="3" fontId="30" fillId="13" borderId="8" xfId="0" applyNumberFormat="1" applyFont="1" applyFill="1" applyBorder="1" applyProtection="1"/>
    <xf numFmtId="3" fontId="30" fillId="13" borderId="19" xfId="0" quotePrefix="1" applyNumberFormat="1" applyFont="1" applyFill="1" applyBorder="1" applyProtection="1"/>
    <xf numFmtId="3" fontId="30" fillId="0" borderId="0" xfId="0" quotePrefix="1" applyNumberFormat="1" applyFont="1" applyBorder="1" applyProtection="1"/>
    <xf numFmtId="37" fontId="20" fillId="0" borderId="0" xfId="0" quotePrefix="1" applyNumberFormat="1" applyFont="1" applyProtection="1"/>
    <xf numFmtId="3" fontId="20" fillId="0" borderId="0" xfId="0" applyNumberFormat="1" applyFont="1" applyProtection="1"/>
    <xf numFmtId="0" fontId="20" fillId="0" borderId="0" xfId="0" applyFont="1" applyProtection="1"/>
    <xf numFmtId="0" fontId="26" fillId="13" borderId="21" xfId="0" applyFont="1" applyFill="1" applyBorder="1" applyAlignment="1" applyProtection="1">
      <alignment horizontal="center" vertical="center"/>
    </xf>
    <xf numFmtId="3" fontId="20" fillId="0" borderId="0" xfId="1" applyNumberFormat="1" applyFont="1" applyBorder="1" applyAlignment="1" applyProtection="1">
      <alignment horizontal="center" vertical="center"/>
    </xf>
    <xf numFmtId="37" fontId="20" fillId="0" borderId="17" xfId="1" applyNumberFormat="1" applyFont="1" applyBorder="1" applyAlignment="1" applyProtection="1">
      <alignment horizontal="center" vertical="center"/>
    </xf>
    <xf numFmtId="37" fontId="20" fillId="0" borderId="0" xfId="1" applyNumberFormat="1" applyFont="1" applyBorder="1" applyAlignment="1" applyProtection="1">
      <alignment horizontal="center" vertical="center"/>
    </xf>
    <xf numFmtId="0" fontId="14" fillId="0" borderId="0" xfId="0" applyFont="1" applyAlignment="1" applyProtection="1">
      <alignment vertical="top"/>
    </xf>
    <xf numFmtId="3" fontId="85" fillId="0" borderId="0" xfId="0" applyNumberFormat="1" applyFont="1" applyBorder="1" applyAlignment="1" applyProtection="1">
      <alignment horizontal="right"/>
    </xf>
    <xf numFmtId="3" fontId="20" fillId="0" borderId="1" xfId="1" applyNumberFormat="1" applyFont="1" applyBorder="1" applyAlignment="1" applyProtection="1">
      <alignment horizontal="center" vertical="center"/>
    </xf>
    <xf numFmtId="165" fontId="20" fillId="0" borderId="0" xfId="0" applyNumberFormat="1" applyFont="1" applyBorder="1" applyAlignment="1" applyProtection="1">
      <alignment horizontal="center" vertical="center"/>
    </xf>
    <xf numFmtId="165" fontId="26" fillId="0" borderId="0" xfId="0" applyNumberFormat="1" applyFont="1" applyBorder="1" applyAlignment="1" applyProtection="1">
      <alignment horizontal="center" vertical="center"/>
    </xf>
    <xf numFmtId="37" fontId="20" fillId="0" borderId="1" xfId="1" applyNumberFormat="1" applyFont="1" applyBorder="1" applyAlignment="1" applyProtection="1">
      <alignment horizontal="center" vertical="center"/>
    </xf>
    <xf numFmtId="3" fontId="30" fillId="13" borderId="7" xfId="0" applyNumberFormat="1" applyFont="1" applyFill="1" applyBorder="1" applyAlignment="1" applyProtection="1">
      <alignment horizontal="center"/>
    </xf>
    <xf numFmtId="3" fontId="30" fillId="13" borderId="9" xfId="0" quotePrefix="1" applyNumberFormat="1" applyFont="1" applyFill="1" applyBorder="1" applyProtection="1"/>
    <xf numFmtId="3" fontId="20" fillId="0" borderId="11" xfId="1" applyNumberFormat="1" applyFont="1" applyBorder="1" applyAlignment="1" applyProtection="1">
      <alignment horizontal="center" vertical="center"/>
    </xf>
    <xf numFmtId="0" fontId="13" fillId="0" borderId="0" xfId="0" applyFont="1" applyBorder="1" applyProtection="1"/>
    <xf numFmtId="3" fontId="20" fillId="0" borderId="1" xfId="1" quotePrefix="1" applyNumberFormat="1" applyFont="1" applyFill="1" applyBorder="1" applyAlignment="1" applyProtection="1">
      <alignment horizontal="center" vertical="center"/>
    </xf>
    <xf numFmtId="37" fontId="20" fillId="0" borderId="1" xfId="1" applyNumberFormat="1" applyFont="1" applyFill="1" applyBorder="1" applyAlignment="1" applyProtection="1">
      <alignment horizontal="center" vertical="center"/>
    </xf>
    <xf numFmtId="37" fontId="20" fillId="0" borderId="12" xfId="0" applyNumberFormat="1" applyFont="1" applyBorder="1" applyAlignment="1" applyProtection="1">
      <alignment horizontal="center" vertical="center"/>
    </xf>
    <xf numFmtId="37" fontId="20" fillId="0" borderId="1" xfId="0" applyNumberFormat="1" applyFont="1" applyBorder="1" applyAlignment="1" applyProtection="1">
      <alignment horizontal="center" vertical="center"/>
    </xf>
    <xf numFmtId="0" fontId="20" fillId="0" borderId="0" xfId="0" applyFont="1" applyAlignment="1" applyProtection="1">
      <alignment horizontal="left"/>
    </xf>
    <xf numFmtId="0" fontId="16" fillId="0" borderId="0" xfId="0" applyFont="1" applyFill="1" applyBorder="1" applyAlignment="1" applyProtection="1">
      <alignment horizontal="center" vertical="center" wrapText="1"/>
    </xf>
    <xf numFmtId="0" fontId="12" fillId="0" borderId="0" xfId="0" applyFont="1" applyBorder="1" applyAlignment="1" applyProtection="1"/>
    <xf numFmtId="0" fontId="11" fillId="0" borderId="0" xfId="0" applyFont="1" applyBorder="1" applyAlignment="1" applyProtection="1">
      <alignment horizontal="left"/>
    </xf>
    <xf numFmtId="0" fontId="17" fillId="8" borderId="0" xfId="0" applyFont="1" applyFill="1" applyBorder="1" applyAlignment="1" applyProtection="1">
      <alignment vertical="center" wrapText="1"/>
    </xf>
    <xf numFmtId="0" fontId="17" fillId="0" borderId="0" xfId="0" applyFont="1" applyFill="1" applyBorder="1" applyAlignment="1" applyProtection="1">
      <alignment horizontal="center" vertical="center" wrapText="1"/>
    </xf>
    <xf numFmtId="0" fontId="101" fillId="0" borderId="0" xfId="0" applyFont="1" applyAlignment="1" applyProtection="1">
      <alignment horizontal="center"/>
    </xf>
    <xf numFmtId="0" fontId="13" fillId="0" borderId="0" xfId="0" applyFont="1" applyFill="1" applyBorder="1" applyProtection="1"/>
    <xf numFmtId="0" fontId="18" fillId="0" borderId="0" xfId="0" applyFont="1" applyBorder="1" applyAlignment="1" applyProtection="1">
      <alignment horizontal="center" vertical="center"/>
    </xf>
    <xf numFmtId="0" fontId="17" fillId="0" borderId="0" xfId="0" applyFont="1" applyFill="1" applyBorder="1" applyAlignment="1" applyProtection="1">
      <alignment vertical="center" wrapText="1"/>
    </xf>
    <xf numFmtId="0" fontId="40" fillId="0" borderId="0" xfId="0" applyFont="1" applyAlignment="1" applyProtection="1">
      <alignment horizontal="left" vertical="center"/>
    </xf>
    <xf numFmtId="0" fontId="96" fillId="0" borderId="0" xfId="0" applyFont="1" applyProtection="1"/>
    <xf numFmtId="164" fontId="10" fillId="0" borderId="0" xfId="4" applyNumberFormat="1" applyFont="1" applyAlignment="1" applyProtection="1">
      <alignment horizontal="right"/>
    </xf>
    <xf numFmtId="0" fontId="20" fillId="0" borderId="0" xfId="0" applyFont="1" applyAlignment="1" applyProtection="1">
      <alignment horizontal="right"/>
    </xf>
    <xf numFmtId="0" fontId="30" fillId="0" borderId="0" xfId="0" applyFont="1" applyAlignment="1" applyProtection="1">
      <alignment horizontal="right"/>
    </xf>
    <xf numFmtId="0" fontId="19" fillId="0" borderId="0" xfId="0" applyFont="1" applyBorder="1" applyAlignment="1" applyProtection="1">
      <alignment horizontal="right" vertical="center"/>
    </xf>
    <xf numFmtId="165" fontId="22" fillId="0" borderId="0" xfId="2" applyNumberFormat="1" applyFont="1" applyBorder="1" applyAlignment="1" applyProtection="1">
      <alignment horizontal="center" vertical="center"/>
    </xf>
    <xf numFmtId="0" fontId="73" fillId="0" borderId="0" xfId="0" applyFont="1" applyAlignment="1" applyProtection="1">
      <alignment vertical="center"/>
    </xf>
    <xf numFmtId="1" fontId="18" fillId="0" borderId="0" xfId="0" applyNumberFormat="1" applyFont="1" applyFill="1" applyBorder="1" applyAlignment="1" applyProtection="1">
      <alignment horizontal="center" vertical="center"/>
    </xf>
    <xf numFmtId="0" fontId="10" fillId="0" borderId="0" xfId="0" applyFont="1" applyBorder="1" applyProtection="1"/>
    <xf numFmtId="3" fontId="101" fillId="0" borderId="0" xfId="0" applyNumberFormat="1" applyFont="1" applyFill="1" applyBorder="1" applyAlignment="1" applyProtection="1">
      <alignment horizontal="center" vertical="top"/>
    </xf>
    <xf numFmtId="0" fontId="101" fillId="0" borderId="0" xfId="0" applyFont="1" applyBorder="1" applyAlignment="1" applyProtection="1">
      <alignment horizontal="center"/>
    </xf>
    <xf numFmtId="0" fontId="26" fillId="0" borderId="0" xfId="0" applyFont="1" applyBorder="1" applyAlignment="1" applyProtection="1">
      <alignment horizontal="right" vertical="center"/>
    </xf>
    <xf numFmtId="0" fontId="101" fillId="0" borderId="52" xfId="0" applyFont="1" applyBorder="1" applyAlignment="1" applyProtection="1">
      <alignment horizontal="center" vertical="top"/>
    </xf>
    <xf numFmtId="0" fontId="14" fillId="0" borderId="0" xfId="0" applyFont="1" applyAlignment="1" applyProtection="1">
      <alignment horizontal="right" vertical="center"/>
    </xf>
    <xf numFmtId="0" fontId="110" fillId="0" borderId="55" xfId="0" applyFont="1" applyFill="1" applyBorder="1" applyAlignment="1" applyProtection="1">
      <alignment horizontal="right" vertical="center"/>
    </xf>
    <xf numFmtId="0" fontId="26" fillId="0" borderId="0" xfId="0" applyFont="1" applyFill="1" applyBorder="1" applyAlignment="1" applyProtection="1">
      <alignment horizontal="right" vertical="center"/>
    </xf>
    <xf numFmtId="0" fontId="18" fillId="0" borderId="5" xfId="0" applyFont="1" applyBorder="1" applyAlignment="1" applyProtection="1">
      <alignment horizontal="center" vertical="center"/>
    </xf>
    <xf numFmtId="0" fontId="110" fillId="0" borderId="54" xfId="0" applyFont="1" applyFill="1" applyBorder="1" applyAlignment="1" applyProtection="1">
      <alignment horizontal="right" vertical="center"/>
    </xf>
    <xf numFmtId="0" fontId="20" fillId="0" borderId="0" xfId="0" applyFont="1" applyAlignment="1" applyProtection="1">
      <alignment horizontal="right" vertical="center"/>
    </xf>
    <xf numFmtId="0" fontId="18" fillId="0" borderId="5" xfId="0" applyFont="1" applyFill="1" applyBorder="1" applyAlignment="1" applyProtection="1">
      <alignment horizontal="center" vertical="center"/>
    </xf>
    <xf numFmtId="0" fontId="14" fillId="0" borderId="0" xfId="0" applyFont="1" applyBorder="1" applyAlignment="1" applyProtection="1">
      <alignment vertical="center"/>
    </xf>
    <xf numFmtId="0" fontId="19" fillId="0" borderId="8" xfId="0" applyFont="1" applyBorder="1" applyAlignment="1" applyProtection="1">
      <alignment horizontal="right" vertical="center"/>
    </xf>
    <xf numFmtId="37" fontId="18" fillId="0" borderId="5" xfId="0" applyNumberFormat="1" applyFont="1" applyBorder="1" applyAlignment="1" applyProtection="1">
      <alignment horizontal="center" vertical="top"/>
    </xf>
    <xf numFmtId="0" fontId="110" fillId="0" borderId="51" xfId="0" applyFont="1" applyFill="1" applyBorder="1" applyAlignment="1" applyProtection="1">
      <alignment horizontal="right" vertical="center"/>
    </xf>
    <xf numFmtId="3" fontId="18" fillId="0" borderId="3" xfId="0" applyNumberFormat="1" applyFont="1" applyBorder="1" applyAlignment="1" applyProtection="1">
      <alignment horizontal="center" vertical="top"/>
    </xf>
    <xf numFmtId="37" fontId="18" fillId="0" borderId="0" xfId="0" applyNumberFormat="1" applyFont="1" applyBorder="1" applyAlignment="1" applyProtection="1">
      <alignment horizontal="center" vertical="top"/>
    </xf>
    <xf numFmtId="0" fontId="14" fillId="0" borderId="0" xfId="0" applyFont="1" applyAlignment="1" applyProtection="1">
      <alignment horizontal="right"/>
    </xf>
    <xf numFmtId="0" fontId="18" fillId="0" borderId="3" xfId="0" applyFont="1" applyBorder="1" applyAlignment="1" applyProtection="1">
      <alignment horizontal="center" vertical="center"/>
    </xf>
    <xf numFmtId="0" fontId="19" fillId="0" borderId="0" xfId="0" applyFont="1" applyFill="1" applyBorder="1" applyAlignment="1" applyProtection="1">
      <alignment horizontal="right" vertical="center"/>
    </xf>
    <xf numFmtId="0" fontId="18" fillId="0" borderId="0" xfId="0" applyFont="1" applyFill="1" applyBorder="1" applyAlignment="1" applyProtection="1">
      <alignment horizontal="center" vertical="center"/>
    </xf>
    <xf numFmtId="3" fontId="18" fillId="0" borderId="8" xfId="0" applyNumberFormat="1" applyFont="1" applyBorder="1" applyAlignment="1" applyProtection="1">
      <alignment horizontal="center" vertical="top"/>
    </xf>
    <xf numFmtId="0" fontId="18" fillId="0" borderId="8" xfId="0" applyFont="1" applyBorder="1" applyAlignment="1" applyProtection="1">
      <alignment horizontal="center" vertical="center"/>
    </xf>
    <xf numFmtId="0" fontId="30" fillId="0" borderId="6" xfId="0" applyFont="1" applyBorder="1" applyAlignment="1" applyProtection="1">
      <alignment horizontal="right" vertical="center"/>
    </xf>
    <xf numFmtId="0" fontId="110" fillId="0" borderId="53" xfId="0" applyFont="1" applyFill="1" applyBorder="1" applyAlignment="1" applyProtection="1">
      <alignment horizontal="right" vertical="center"/>
    </xf>
    <xf numFmtId="0" fontId="18" fillId="7" borderId="0" xfId="0" applyFont="1" applyFill="1" applyBorder="1" applyAlignment="1" applyProtection="1">
      <alignment horizontal="center" vertical="center"/>
    </xf>
    <xf numFmtId="0" fontId="17" fillId="8" borderId="57" xfId="0" applyFont="1" applyFill="1" applyBorder="1" applyAlignment="1" applyProtection="1">
      <alignment vertical="center" wrapText="1"/>
    </xf>
    <xf numFmtId="0" fontId="17" fillId="8" borderId="58" xfId="0" applyFont="1" applyFill="1" applyBorder="1" applyAlignment="1" applyProtection="1">
      <alignment vertical="center" wrapText="1"/>
    </xf>
    <xf numFmtId="3" fontId="18" fillId="0" borderId="0" xfId="0" applyNumberFormat="1" applyFont="1" applyFill="1" applyBorder="1" applyAlignment="1" applyProtection="1">
      <alignment horizontal="center" vertical="center"/>
    </xf>
    <xf numFmtId="165" fontId="28" fillId="0" borderId="0" xfId="2" applyNumberFormat="1" applyFont="1" applyBorder="1" applyAlignment="1" applyProtection="1">
      <alignment horizontal="right" vertical="center"/>
    </xf>
    <xf numFmtId="3" fontId="24" fillId="0" borderId="0" xfId="0" applyNumberFormat="1" applyFont="1" applyBorder="1" applyAlignment="1" applyProtection="1">
      <alignment horizontal="center" vertical="center"/>
    </xf>
    <xf numFmtId="0" fontId="99" fillId="0" borderId="0" xfId="0" applyFont="1" applyFill="1" applyBorder="1" applyAlignment="1" applyProtection="1">
      <alignment vertical="center"/>
    </xf>
    <xf numFmtId="0" fontId="96" fillId="0" borderId="0" xfId="0" applyFont="1" applyFill="1" applyBorder="1" applyAlignment="1" applyProtection="1">
      <alignment vertical="center"/>
    </xf>
    <xf numFmtId="0" fontId="4" fillId="0" borderId="0" xfId="3" quotePrefix="1" applyFont="1" applyAlignment="1" applyProtection="1">
      <alignment horizontal="left"/>
    </xf>
    <xf numFmtId="0" fontId="10" fillId="0" borderId="0" xfId="0" applyFont="1" applyFill="1" applyBorder="1" applyProtection="1"/>
    <xf numFmtId="0" fontId="28" fillId="0" borderId="0" xfId="0" applyFont="1" applyFill="1" applyAlignment="1" applyProtection="1">
      <alignment horizontal="left" vertical="center"/>
    </xf>
    <xf numFmtId="0" fontId="28" fillId="0" borderId="0" xfId="0" applyFont="1" applyAlignment="1" applyProtection="1">
      <alignment horizontal="left" vertical="center"/>
    </xf>
    <xf numFmtId="0" fontId="59" fillId="0" borderId="0" xfId="0" applyFont="1" applyProtection="1"/>
    <xf numFmtId="0" fontId="112" fillId="8" borderId="29" xfId="0" applyFont="1" applyFill="1" applyBorder="1" applyAlignment="1" applyProtection="1">
      <alignment vertical="center"/>
    </xf>
    <xf numFmtId="0" fontId="112" fillId="8" borderId="56" xfId="0" applyFont="1" applyFill="1" applyBorder="1" applyAlignment="1" applyProtection="1">
      <alignment vertical="center"/>
    </xf>
    <xf numFmtId="0" fontId="18" fillId="0" borderId="1" xfId="0" applyFont="1" applyBorder="1" applyAlignment="1" applyProtection="1">
      <alignment horizontal="center" vertical="center"/>
    </xf>
    <xf numFmtId="0" fontId="18" fillId="0" borderId="1" xfId="0" applyFont="1" applyFill="1" applyBorder="1" applyAlignment="1" applyProtection="1">
      <alignment horizontal="center" vertical="center"/>
    </xf>
    <xf numFmtId="165" fontId="28" fillId="0" borderId="1" xfId="2" applyNumberFormat="1" applyFont="1" applyBorder="1" applyAlignment="1" applyProtection="1">
      <alignment horizontal="right" vertical="center"/>
    </xf>
    <xf numFmtId="3" fontId="18" fillId="0" borderId="1" xfId="0" applyNumberFormat="1" applyFont="1" applyBorder="1" applyAlignment="1" applyProtection="1">
      <alignment horizontal="center" vertical="center"/>
    </xf>
    <xf numFmtId="1" fontId="18" fillId="0" borderId="1" xfId="0" applyNumberFormat="1" applyFont="1" applyFill="1" applyBorder="1" applyAlignment="1" applyProtection="1">
      <alignment horizontal="center" vertical="center"/>
    </xf>
    <xf numFmtId="0" fontId="107" fillId="17" borderId="1" xfId="0" applyFont="1" applyFill="1" applyBorder="1" applyAlignment="1" applyProtection="1">
      <alignment horizontal="center" vertical="center"/>
    </xf>
    <xf numFmtId="0" fontId="110" fillId="0" borderId="1" xfId="0" applyFont="1" applyFill="1" applyBorder="1" applyAlignment="1" applyProtection="1">
      <alignment horizontal="right" vertical="center"/>
    </xf>
    <xf numFmtId="0" fontId="110" fillId="0" borderId="19" xfId="0" applyFont="1" applyFill="1" applyBorder="1" applyAlignment="1" applyProtection="1">
      <alignment horizontal="right" vertical="center"/>
    </xf>
    <xf numFmtId="0" fontId="110" fillId="0" borderId="1" xfId="0" applyFont="1" applyBorder="1" applyAlignment="1" applyProtection="1">
      <alignment horizontal="right" vertical="center"/>
    </xf>
    <xf numFmtId="0" fontId="53" fillId="0" borderId="1" xfId="0" applyFont="1" applyFill="1" applyBorder="1" applyAlignment="1" applyProtection="1">
      <alignment horizontal="right" vertical="center"/>
    </xf>
    <xf numFmtId="0" fontId="84" fillId="0" borderId="0" xfId="0" applyFont="1" applyFill="1" applyBorder="1" applyAlignment="1" applyProtection="1">
      <alignment horizontal="left" vertical="center"/>
    </xf>
    <xf numFmtId="0" fontId="22" fillId="0" borderId="0" xfId="0" applyFont="1" applyAlignment="1" applyProtection="1">
      <alignment horizontal="center" vertical="top"/>
    </xf>
    <xf numFmtId="0" fontId="20" fillId="0" borderId="0" xfId="0" applyFont="1" applyBorder="1" applyAlignment="1" applyProtection="1">
      <alignment horizontal="left" vertical="center"/>
    </xf>
    <xf numFmtId="0" fontId="20" fillId="0" borderId="0" xfId="0" applyFont="1" applyAlignment="1" applyProtection="1">
      <alignment horizontal="center" vertical="center" wrapText="1"/>
    </xf>
    <xf numFmtId="0" fontId="111" fillId="0" borderId="0" xfId="0" applyFont="1" applyAlignment="1" applyProtection="1">
      <alignment horizontal="right"/>
    </xf>
    <xf numFmtId="0" fontId="20" fillId="0" borderId="0" xfId="3" quotePrefix="1" applyFont="1" applyAlignment="1" applyProtection="1">
      <alignment horizontal="left"/>
    </xf>
    <xf numFmtId="0" fontId="114" fillId="0" borderId="0" xfId="0" applyFont="1" applyAlignment="1">
      <alignment horizontal="center" vertical="center"/>
    </xf>
    <xf numFmtId="0" fontId="32" fillId="9" borderId="11" xfId="0" applyFont="1" applyFill="1" applyBorder="1" applyAlignment="1">
      <alignment horizontal="center" wrapText="1"/>
    </xf>
    <xf numFmtId="164" fontId="32" fillId="9" borderId="33" xfId="1" applyNumberFormat="1" applyFont="1" applyFill="1" applyBorder="1" applyAlignment="1">
      <alignment horizontal="center" wrapText="1"/>
    </xf>
    <xf numFmtId="3" fontId="32" fillId="9" borderId="33" xfId="1" applyNumberFormat="1" applyFont="1" applyFill="1" applyBorder="1" applyAlignment="1">
      <alignment horizontal="center" wrapText="1"/>
    </xf>
    <xf numFmtId="164" fontId="32" fillId="9" borderId="27" xfId="1" applyNumberFormat="1" applyFont="1" applyFill="1" applyBorder="1" applyAlignment="1">
      <alignment horizontal="center"/>
    </xf>
    <xf numFmtId="3" fontId="24" fillId="9" borderId="32" xfId="1" applyNumberFormat="1" applyFont="1" applyFill="1" applyBorder="1" applyAlignment="1">
      <alignment horizontal="center"/>
    </xf>
    <xf numFmtId="164" fontId="32" fillId="9" borderId="30" xfId="1" applyNumberFormat="1" applyFont="1" applyFill="1" applyBorder="1" applyAlignment="1">
      <alignment horizontal="center"/>
    </xf>
    <xf numFmtId="3" fontId="69" fillId="9" borderId="27" xfId="1" applyNumberFormat="1" applyFont="1" applyFill="1" applyBorder="1" applyAlignment="1" applyProtection="1">
      <alignment horizontal="center"/>
    </xf>
    <xf numFmtId="3" fontId="24" fillId="9" borderId="42" xfId="1" applyNumberFormat="1" applyFont="1" applyFill="1" applyBorder="1" applyAlignment="1">
      <alignment horizontal="center"/>
    </xf>
    <xf numFmtId="3" fontId="24" fillId="9" borderId="28" xfId="1" applyNumberFormat="1" applyFont="1" applyFill="1" applyBorder="1" applyAlignment="1">
      <alignment horizontal="center"/>
    </xf>
    <xf numFmtId="3" fontId="31" fillId="6" borderId="71" xfId="1" applyNumberFormat="1" applyFont="1" applyFill="1" applyBorder="1" applyAlignment="1">
      <alignment horizontal="center" wrapText="1"/>
    </xf>
    <xf numFmtId="3" fontId="31" fillId="6" borderId="73" xfId="1" applyNumberFormat="1" applyFont="1" applyFill="1" applyBorder="1" applyAlignment="1">
      <alignment horizontal="center" wrapText="1"/>
    </xf>
    <xf numFmtId="3" fontId="31" fillId="6" borderId="72" xfId="1" applyNumberFormat="1" applyFont="1" applyFill="1" applyBorder="1" applyAlignment="1">
      <alignment horizontal="center" wrapText="1"/>
    </xf>
    <xf numFmtId="0" fontId="28" fillId="0" borderId="0" xfId="0" applyFont="1" applyFill="1" applyAlignment="1" applyProtection="1">
      <alignment horizontal="left" vertical="center"/>
    </xf>
    <xf numFmtId="3" fontId="40" fillId="0" borderId="0" xfId="0" applyNumberFormat="1" applyFont="1" applyBorder="1" applyAlignment="1" applyProtection="1">
      <alignment horizontal="center" vertical="top"/>
    </xf>
    <xf numFmtId="0" fontId="13" fillId="0" borderId="0" xfId="0" applyFont="1" applyAlignment="1" applyProtection="1">
      <alignment vertical="top"/>
    </xf>
    <xf numFmtId="0" fontId="106" fillId="0" borderId="0" xfId="0" applyFont="1" applyAlignment="1" applyProtection="1">
      <alignment horizontal="right" vertical="center"/>
    </xf>
    <xf numFmtId="0" fontId="13" fillId="0" borderId="0" xfId="0" applyFont="1" applyBorder="1" applyAlignment="1" applyProtection="1">
      <alignment vertical="center"/>
    </xf>
    <xf numFmtId="0" fontId="40" fillId="0" borderId="0" xfId="0" applyFont="1" applyBorder="1" applyAlignment="1" applyProtection="1">
      <alignment vertical="center"/>
    </xf>
    <xf numFmtId="0" fontId="19" fillId="0" borderId="0" xfId="0" applyFont="1" applyAlignment="1" applyProtection="1">
      <alignment vertical="top"/>
    </xf>
    <xf numFmtId="3" fontId="60" fillId="0" borderId="5" xfId="1" applyNumberFormat="1" applyFont="1" applyFill="1" applyBorder="1" applyAlignment="1" applyProtection="1">
      <alignment horizontal="center"/>
    </xf>
    <xf numFmtId="3" fontId="30" fillId="19" borderId="0" xfId="0" applyNumberFormat="1" applyFont="1" applyFill="1" applyBorder="1" applyAlignment="1" applyProtection="1">
      <alignment horizontal="center" vertical="center"/>
    </xf>
    <xf numFmtId="0" fontId="115" fillId="19" borderId="0" xfId="0" applyFont="1" applyFill="1" applyBorder="1" applyAlignment="1" applyProtection="1">
      <alignment vertical="top"/>
    </xf>
    <xf numFmtId="0" fontId="17" fillId="19" borderId="0" xfId="0" applyFont="1" applyFill="1" applyBorder="1" applyAlignment="1" applyProtection="1">
      <alignment vertical="center" wrapText="1"/>
    </xf>
    <xf numFmtId="0" fontId="46" fillId="19" borderId="0" xfId="0" applyFont="1" applyFill="1" applyBorder="1" applyAlignment="1" applyProtection="1">
      <alignment vertical="center" wrapText="1"/>
    </xf>
    <xf numFmtId="0" fontId="55" fillId="19" borderId="0" xfId="0" applyFont="1" applyFill="1" applyBorder="1" applyProtection="1"/>
    <xf numFmtId="0" fontId="117" fillId="19" borderId="0" xfId="0" applyFont="1" applyFill="1" applyBorder="1" applyAlignment="1" applyProtection="1">
      <alignment vertical="center" wrapText="1"/>
    </xf>
    <xf numFmtId="0" fontId="112" fillId="19" borderId="0" xfId="0" applyFont="1" applyFill="1" applyBorder="1" applyAlignment="1" applyProtection="1">
      <alignment vertical="center"/>
    </xf>
    <xf numFmtId="0" fontId="89" fillId="0" borderId="0" xfId="0" applyFont="1" applyFill="1"/>
    <xf numFmtId="0" fontId="63" fillId="0" borderId="0" xfId="0" applyFont="1" applyFill="1" applyAlignment="1">
      <alignment wrapText="1"/>
    </xf>
    <xf numFmtId="0" fontId="93" fillId="0" borderId="0" xfId="0" applyFont="1" applyFill="1" applyAlignment="1">
      <alignment vertical="top"/>
    </xf>
    <xf numFmtId="38" fontId="89" fillId="0" borderId="0" xfId="0" applyNumberFormat="1" applyFont="1" applyFill="1"/>
    <xf numFmtId="38" fontId="59" fillId="0" borderId="0" xfId="0" applyNumberFormat="1" applyFont="1" applyFill="1"/>
    <xf numFmtId="38" fontId="58" fillId="21" borderId="0" xfId="0" applyNumberFormat="1" applyFont="1" applyFill="1" applyBorder="1" applyAlignment="1">
      <alignment horizontal="center"/>
    </xf>
    <xf numFmtId="0" fontId="91" fillId="0" borderId="0" xfId="0" applyFont="1" applyAlignment="1"/>
    <xf numFmtId="0" fontId="20" fillId="0" borderId="47" xfId="0" applyFont="1" applyBorder="1" applyAlignment="1">
      <alignment horizontal="center"/>
    </xf>
    <xf numFmtId="9" fontId="20" fillId="0" borderId="75" xfId="2" applyFont="1" applyBorder="1" applyAlignment="1">
      <alignment horizontal="center"/>
    </xf>
    <xf numFmtId="165" fontId="20" fillId="0" borderId="75" xfId="2" applyNumberFormat="1" applyFont="1" applyBorder="1" applyAlignment="1">
      <alignment horizontal="center"/>
    </xf>
    <xf numFmtId="0" fontId="32" fillId="19" borderId="67" xfId="0" applyFont="1" applyFill="1" applyBorder="1" applyAlignment="1">
      <alignment horizontal="center"/>
    </xf>
    <xf numFmtId="0" fontId="24" fillId="19" borderId="68" xfId="0" applyFont="1" applyFill="1" applyBorder="1" applyAlignment="1">
      <alignment horizontal="center" wrapText="1"/>
    </xf>
    <xf numFmtId="0" fontId="24" fillId="19" borderId="68" xfId="0" applyFont="1" applyFill="1" applyBorder="1" applyAlignment="1">
      <alignment horizontal="center"/>
    </xf>
    <xf numFmtId="0" fontId="13" fillId="0" borderId="0" xfId="0" applyFont="1" applyFill="1" applyBorder="1" applyAlignment="1"/>
    <xf numFmtId="0" fontId="13" fillId="0" borderId="0" xfId="0" applyFont="1" applyBorder="1" applyAlignment="1">
      <alignment vertical="top"/>
    </xf>
    <xf numFmtId="0" fontId="20" fillId="2" borderId="13" xfId="0" applyFont="1" applyFill="1" applyBorder="1" applyAlignment="1">
      <alignment horizontal="right" wrapText="1"/>
    </xf>
    <xf numFmtId="0" fontId="20" fillId="2" borderId="14" xfId="0" applyFont="1" applyFill="1" applyBorder="1" applyAlignment="1">
      <alignment horizontal="right" wrapText="1"/>
    </xf>
    <xf numFmtId="10" fontId="20" fillId="2" borderId="15" xfId="0" applyNumberFormat="1" applyFont="1" applyFill="1" applyBorder="1" applyAlignment="1">
      <alignment horizontal="right" wrapText="1"/>
    </xf>
    <xf numFmtId="3" fontId="20" fillId="2" borderId="47" xfId="0" applyNumberFormat="1" applyFont="1" applyFill="1" applyBorder="1" applyAlignment="1">
      <alignment horizontal="right" wrapText="1"/>
    </xf>
    <xf numFmtId="10" fontId="20" fillId="2" borderId="75" xfId="0" applyNumberFormat="1" applyFont="1" applyFill="1" applyBorder="1" applyAlignment="1">
      <alignment horizontal="right" wrapText="1"/>
    </xf>
    <xf numFmtId="3" fontId="20" fillId="2" borderId="16" xfId="0" applyNumberFormat="1" applyFont="1" applyFill="1" applyBorder="1" applyAlignment="1">
      <alignment horizontal="right" wrapText="1"/>
    </xf>
    <xf numFmtId="3" fontId="20" fillId="2" borderId="17" xfId="0" applyNumberFormat="1" applyFont="1" applyFill="1" applyBorder="1" applyAlignment="1">
      <alignment horizontal="right" wrapText="1"/>
    </xf>
    <xf numFmtId="10" fontId="20" fillId="2" borderId="18" xfId="0" applyNumberFormat="1" applyFont="1" applyFill="1" applyBorder="1" applyAlignment="1">
      <alignment horizontal="right" wrapText="1"/>
    </xf>
    <xf numFmtId="0" fontId="80" fillId="19" borderId="74" xfId="0" applyFont="1" applyFill="1" applyBorder="1" applyAlignment="1">
      <alignment horizontal="center" vertical="center" wrapText="1"/>
    </xf>
    <xf numFmtId="10" fontId="91" fillId="0" borderId="0" xfId="2" applyNumberFormat="1" applyFont="1" applyBorder="1" applyAlignment="1">
      <alignment horizontal="center" vertical="top"/>
    </xf>
    <xf numFmtId="9" fontId="91" fillId="0" borderId="0" xfId="2" applyNumberFormat="1" applyFont="1" applyBorder="1" applyAlignment="1">
      <alignment horizontal="center" vertical="top"/>
    </xf>
    <xf numFmtId="165" fontId="91" fillId="0" borderId="0" xfId="2" applyNumberFormat="1" applyFont="1" applyBorder="1" applyAlignment="1">
      <alignment horizontal="center" vertical="top"/>
    </xf>
    <xf numFmtId="0" fontId="80" fillId="20" borderId="74" xfId="0" applyFont="1" applyFill="1" applyBorder="1" applyAlignment="1">
      <alignment horizontal="center" vertical="center" wrapText="1"/>
    </xf>
    <xf numFmtId="0" fontId="92" fillId="20" borderId="74" xfId="0" applyFont="1" applyFill="1" applyBorder="1" applyAlignment="1">
      <alignment horizontal="center" vertical="center" wrapText="1"/>
    </xf>
    <xf numFmtId="0" fontId="13" fillId="15" borderId="74" xfId="0" applyFont="1" applyFill="1" applyBorder="1" applyProtection="1"/>
    <xf numFmtId="0" fontId="82" fillId="6" borderId="82" xfId="0" applyFont="1" applyFill="1" applyBorder="1" applyAlignment="1" applyProtection="1">
      <alignment horizontal="center" vertical="center"/>
    </xf>
    <xf numFmtId="3" fontId="36" fillId="0" borderId="74" xfId="0" applyNumberFormat="1" applyFont="1" applyBorder="1" applyAlignment="1" applyProtection="1">
      <alignment horizontal="center" vertical="center"/>
    </xf>
    <xf numFmtId="3" fontId="20" fillId="0" borderId="74" xfId="0" applyNumberFormat="1" applyFont="1" applyBorder="1" applyAlignment="1" applyProtection="1">
      <alignment horizontal="center" vertical="center"/>
    </xf>
    <xf numFmtId="3" fontId="27" fillId="19" borderId="77" xfId="1" applyNumberFormat="1" applyFont="1" applyFill="1" applyBorder="1" applyAlignment="1" applyProtection="1">
      <alignment horizontal="center" vertical="center"/>
    </xf>
    <xf numFmtId="3" fontId="83" fillId="13" borderId="8" xfId="0" applyNumberFormat="1" applyFont="1" applyFill="1" applyBorder="1" applyAlignment="1" applyProtection="1">
      <alignment horizontal="center"/>
    </xf>
    <xf numFmtId="0" fontId="21" fillId="0" borderId="75" xfId="0" applyFont="1" applyBorder="1" applyAlignment="1" applyProtection="1">
      <alignment horizontal="center" vertical="center"/>
    </xf>
    <xf numFmtId="0" fontId="20" fillId="0" borderId="75" xfId="0" applyFont="1" applyBorder="1" applyAlignment="1" applyProtection="1">
      <alignment vertical="center"/>
    </xf>
    <xf numFmtId="0" fontId="68" fillId="0" borderId="75" xfId="0" applyFont="1" applyBorder="1" applyAlignment="1" applyProtection="1">
      <alignment vertical="center"/>
    </xf>
    <xf numFmtId="0" fontId="103" fillId="0" borderId="75" xfId="0" applyFont="1" applyFill="1" applyBorder="1" applyAlignment="1" applyProtection="1">
      <alignment horizontal="center" vertical="center"/>
    </xf>
    <xf numFmtId="165" fontId="100" fillId="0" borderId="75" xfId="0" applyNumberFormat="1" applyFont="1" applyBorder="1" applyAlignment="1" applyProtection="1">
      <alignment horizontal="center" vertical="center"/>
    </xf>
    <xf numFmtId="165" fontId="102" fillId="0" borderId="75" xfId="0" applyNumberFormat="1" applyFont="1" applyBorder="1" applyAlignment="1" applyProtection="1">
      <alignment horizontal="center" vertical="center"/>
    </xf>
    <xf numFmtId="0" fontId="20" fillId="0" borderId="16" xfId="0" applyFont="1" applyBorder="1" applyAlignment="1" applyProtection="1">
      <alignment vertical="center"/>
    </xf>
    <xf numFmtId="3" fontId="20" fillId="0" borderId="17" xfId="0" applyNumberFormat="1" applyFont="1" applyBorder="1" applyAlignment="1" applyProtection="1">
      <alignment horizontal="center" vertical="center"/>
    </xf>
    <xf numFmtId="0" fontId="20" fillId="0" borderId="18" xfId="0" applyFont="1" applyBorder="1" applyAlignment="1" applyProtection="1">
      <alignment vertical="center"/>
    </xf>
    <xf numFmtId="0" fontId="103" fillId="0" borderId="75" xfId="0" applyFont="1" applyBorder="1" applyAlignment="1" applyProtection="1">
      <alignment horizontal="center" vertical="center"/>
    </xf>
    <xf numFmtId="0" fontId="25" fillId="0" borderId="47" xfId="0" applyFont="1" applyFill="1" applyBorder="1" applyAlignment="1" applyProtection="1">
      <alignment horizontal="center" vertical="center" wrapText="1"/>
    </xf>
    <xf numFmtId="0" fontId="25" fillId="0" borderId="75" xfId="0" applyFont="1" applyFill="1" applyBorder="1" applyAlignment="1" applyProtection="1">
      <alignment horizontal="center" vertical="center" wrapText="1"/>
    </xf>
    <xf numFmtId="164" fontId="32" fillId="9" borderId="33" xfId="1" applyNumberFormat="1" applyFont="1" applyFill="1" applyBorder="1" applyAlignment="1">
      <alignment horizontal="center" wrapText="1"/>
    </xf>
    <xf numFmtId="0" fontId="1" fillId="0" borderId="0" xfId="0" applyFont="1" applyAlignment="1" applyProtection="1">
      <alignment horizontal="center" vertical="top"/>
    </xf>
    <xf numFmtId="0" fontId="13" fillId="0" borderId="0" xfId="0" applyFont="1" applyAlignment="1" applyProtection="1">
      <alignment horizontal="center" vertical="top"/>
    </xf>
    <xf numFmtId="0" fontId="14" fillId="19" borderId="0" xfId="0" applyFont="1" applyFill="1" applyBorder="1" applyAlignment="1">
      <alignment horizontal="left"/>
    </xf>
    <xf numFmtId="0" fontId="129" fillId="0" borderId="0" xfId="0" applyFont="1" applyProtection="1"/>
    <xf numFmtId="0" fontId="131" fillId="0" borderId="0" xfId="3" applyFont="1" applyAlignment="1" applyProtection="1">
      <alignment vertical="top" wrapText="1"/>
    </xf>
    <xf numFmtId="0" fontId="131" fillId="22" borderId="83" xfId="3" applyFont="1" applyFill="1" applyBorder="1" applyAlignment="1" applyProtection="1">
      <alignment vertical="top" wrapText="1"/>
    </xf>
    <xf numFmtId="0" fontId="130" fillId="0" borderId="0" xfId="3" applyFont="1" applyAlignment="1" applyProtection="1">
      <alignment horizontal="left" vertical="center" wrapText="1"/>
    </xf>
    <xf numFmtId="0" fontId="136" fillId="0" borderId="0" xfId="3" applyFont="1" applyProtection="1"/>
    <xf numFmtId="0" fontId="137" fillId="0" borderId="0" xfId="3" applyFont="1" applyProtection="1"/>
    <xf numFmtId="0" fontId="140" fillId="0" borderId="0" xfId="3" applyFont="1" applyAlignment="1" applyProtection="1">
      <alignment horizontal="left"/>
    </xf>
    <xf numFmtId="0" fontId="141" fillId="0" borderId="0" xfId="3" applyFont="1" applyBorder="1" applyAlignment="1" applyProtection="1">
      <alignment vertical="top"/>
    </xf>
    <xf numFmtId="0" fontId="142" fillId="0" borderId="0" xfId="3" applyFont="1" applyBorder="1" applyAlignment="1" applyProtection="1">
      <alignment vertical="top"/>
    </xf>
    <xf numFmtId="0" fontId="140" fillId="0" borderId="0" xfId="3" applyFont="1" applyAlignment="1" applyProtection="1">
      <alignment horizontal="left" vertical="top"/>
    </xf>
    <xf numFmtId="0" fontId="140" fillId="0" borderId="0" xfId="3" quotePrefix="1" applyFont="1" applyAlignment="1" applyProtection="1">
      <alignment vertical="top"/>
    </xf>
    <xf numFmtId="0" fontId="143" fillId="0" borderId="0" xfId="3" quotePrefix="1" applyFont="1" applyAlignment="1" applyProtection="1">
      <alignment vertical="top"/>
    </xf>
    <xf numFmtId="0" fontId="140" fillId="0" borderId="0" xfId="3" quotePrefix="1" applyFont="1" applyAlignment="1" applyProtection="1">
      <alignment horizontal="left" vertical="top"/>
    </xf>
    <xf numFmtId="0" fontId="143" fillId="0" borderId="0" xfId="3" quotePrefix="1" applyFont="1" applyAlignment="1" applyProtection="1">
      <alignment horizontal="left" vertical="top"/>
    </xf>
    <xf numFmtId="0" fontId="140" fillId="0" borderId="0" xfId="3" quotePrefix="1" applyFont="1" applyAlignment="1" applyProtection="1">
      <alignment horizontal="left"/>
    </xf>
    <xf numFmtId="0" fontId="140" fillId="0" borderId="0" xfId="3" applyFont="1" applyAlignment="1" applyProtection="1"/>
    <xf numFmtId="0" fontId="140" fillId="0" borderId="0" xfId="3" applyFont="1" applyAlignment="1" applyProtection="1">
      <alignment horizontal="right"/>
    </xf>
    <xf numFmtId="0" fontId="140" fillId="0" borderId="0" xfId="3" quotePrefix="1" applyFont="1" applyAlignment="1" applyProtection="1">
      <alignment horizontal="right"/>
    </xf>
    <xf numFmtId="0" fontId="40" fillId="0" borderId="88" xfId="0" applyFont="1" applyFill="1" applyBorder="1" applyAlignment="1" applyProtection="1">
      <alignment vertical="center"/>
    </xf>
    <xf numFmtId="0" fontId="20" fillId="0" borderId="89" xfId="0" applyFont="1" applyFill="1" applyBorder="1" applyAlignment="1" applyProtection="1">
      <alignment horizontal="right" vertical="center"/>
    </xf>
    <xf numFmtId="3" fontId="18" fillId="0" borderId="90" xfId="0" applyNumberFormat="1" applyFont="1" applyBorder="1" applyAlignment="1" applyProtection="1">
      <alignment horizontal="center" vertical="center"/>
    </xf>
    <xf numFmtId="0" fontId="13" fillId="0" borderId="91" xfId="0" applyFont="1" applyBorder="1" applyProtection="1"/>
    <xf numFmtId="0" fontId="17" fillId="0" borderId="92" xfId="0" applyFont="1" applyFill="1" applyBorder="1" applyAlignment="1" applyProtection="1">
      <alignment vertical="center" wrapText="1"/>
    </xf>
    <xf numFmtId="1" fontId="32" fillId="0" borderId="2" xfId="1" applyNumberFormat="1" applyFont="1" applyBorder="1" applyAlignment="1">
      <alignment horizontal="center"/>
    </xf>
    <xf numFmtId="9" fontId="32" fillId="0" borderId="4" xfId="2" applyFont="1" applyBorder="1" applyAlignment="1">
      <alignment horizontal="center"/>
    </xf>
    <xf numFmtId="1" fontId="32" fillId="0" borderId="5" xfId="1" applyNumberFormat="1" applyFont="1" applyBorder="1" applyAlignment="1">
      <alignment horizontal="center"/>
    </xf>
    <xf numFmtId="9" fontId="32" fillId="0" borderId="6" xfId="2" applyFont="1" applyBorder="1" applyAlignment="1">
      <alignment horizontal="center"/>
    </xf>
    <xf numFmtId="1" fontId="32" fillId="0" borderId="7" xfId="1" applyNumberFormat="1" applyFont="1" applyBorder="1" applyAlignment="1">
      <alignment horizontal="center"/>
    </xf>
    <xf numFmtId="9" fontId="32" fillId="0" borderId="9" xfId="2" applyFont="1" applyBorder="1" applyAlignment="1">
      <alignment horizontal="center"/>
    </xf>
    <xf numFmtId="164" fontId="32" fillId="0" borderId="19" xfId="1" applyNumberFormat="1" applyFont="1" applyBorder="1" applyAlignment="1">
      <alignment horizontal="center"/>
    </xf>
    <xf numFmtId="3" fontId="32" fillId="0" borderId="21" xfId="1" applyNumberFormat="1" applyFont="1" applyBorder="1" applyAlignment="1">
      <alignment horizontal="center"/>
    </xf>
    <xf numFmtId="9" fontId="32" fillId="25" borderId="27" xfId="2" applyFont="1" applyFill="1" applyBorder="1" applyAlignment="1">
      <alignment horizontal="center"/>
    </xf>
    <xf numFmtId="0" fontId="149" fillId="0" borderId="0" xfId="0" applyFont="1" applyAlignment="1" applyProtection="1">
      <alignment vertical="center"/>
    </xf>
    <xf numFmtId="0" fontId="17" fillId="0" borderId="0" xfId="0" applyFont="1" applyProtection="1"/>
    <xf numFmtId="0" fontId="149" fillId="0" borderId="0" xfId="0" applyFont="1" applyAlignment="1" applyProtection="1">
      <alignment horizontal="left" vertical="center"/>
    </xf>
    <xf numFmtId="0" fontId="117" fillId="0" borderId="0" xfId="0" applyFont="1" applyFill="1" applyBorder="1" applyAlignment="1" applyProtection="1">
      <alignment horizontal="right" vertical="center"/>
    </xf>
    <xf numFmtId="0" fontId="117" fillId="0" borderId="0" xfId="0" applyFont="1" applyBorder="1" applyAlignment="1" applyProtection="1">
      <alignment horizontal="center" vertical="center"/>
    </xf>
    <xf numFmtId="0" fontId="17" fillId="0" borderId="93" xfId="0" applyFont="1" applyBorder="1" applyProtection="1"/>
    <xf numFmtId="0" fontId="17" fillId="0" borderId="0" xfId="0" applyFont="1" applyBorder="1" applyProtection="1"/>
    <xf numFmtId="0" fontId="42" fillId="0" borderId="0" xfId="0" applyFont="1" applyAlignment="1" applyProtection="1">
      <alignment horizontal="left" vertical="center"/>
    </xf>
    <xf numFmtId="0" fontId="42" fillId="0" borderId="92" xfId="0" applyFont="1" applyFill="1" applyBorder="1" applyAlignment="1" applyProtection="1">
      <alignment vertical="center"/>
    </xf>
    <xf numFmtId="0" fontId="118" fillId="0" borderId="0" xfId="0" applyFont="1" applyFill="1" applyBorder="1" applyAlignment="1" applyProtection="1">
      <alignment vertical="center"/>
    </xf>
    <xf numFmtId="0" fontId="42" fillId="0" borderId="0" xfId="0" applyFont="1" applyBorder="1" applyAlignment="1" applyProtection="1">
      <alignment vertical="center"/>
    </xf>
    <xf numFmtId="169" fontId="42" fillId="0" borderId="0" xfId="0" applyNumberFormat="1" applyFont="1" applyBorder="1" applyAlignment="1" applyProtection="1">
      <alignment horizontal="center" vertical="center"/>
    </xf>
    <xf numFmtId="0" fontId="17" fillId="0" borderId="92" xfId="0" applyFont="1" applyBorder="1" applyProtection="1"/>
    <xf numFmtId="0" fontId="151" fillId="19" borderId="0" xfId="0" applyFont="1" applyFill="1" applyBorder="1" applyAlignment="1" applyProtection="1">
      <alignment vertical="center"/>
    </xf>
    <xf numFmtId="9" fontId="117" fillId="0" borderId="0" xfId="2" applyFont="1" applyBorder="1" applyAlignment="1" applyProtection="1">
      <alignment horizontal="center"/>
    </xf>
    <xf numFmtId="169" fontId="42" fillId="0" borderId="87" xfId="0" applyNumberFormat="1" applyFont="1" applyBorder="1" applyAlignment="1" applyProtection="1">
      <alignment horizontal="center" vertical="center"/>
    </xf>
    <xf numFmtId="0" fontId="150" fillId="0" borderId="0" xfId="0" applyFont="1" applyBorder="1" applyAlignment="1" applyProtection="1">
      <alignment horizontal="center"/>
    </xf>
    <xf numFmtId="3" fontId="42" fillId="0" borderId="0" xfId="0" applyNumberFormat="1" applyFont="1" applyBorder="1" applyAlignment="1" applyProtection="1">
      <alignment horizontal="center" vertical="center"/>
    </xf>
    <xf numFmtId="169" fontId="42" fillId="0" borderId="0" xfId="2" applyNumberFormat="1" applyFont="1" applyFill="1" applyBorder="1" applyAlignment="1" applyProtection="1">
      <alignment horizontal="center" vertical="center"/>
    </xf>
    <xf numFmtId="0" fontId="17" fillId="0" borderId="0" xfId="0" applyFont="1" applyFill="1" applyProtection="1"/>
    <xf numFmtId="3" fontId="152" fillId="16" borderId="87" xfId="0" applyNumberFormat="1" applyFont="1" applyFill="1" applyBorder="1" applyAlignment="1" applyProtection="1">
      <alignment horizontal="center" vertical="center"/>
    </xf>
    <xf numFmtId="0" fontId="117" fillId="7" borderId="0" xfId="0" applyFont="1" applyFill="1" applyBorder="1" applyAlignment="1" applyProtection="1">
      <alignment horizontal="center" vertical="center"/>
    </xf>
    <xf numFmtId="0" fontId="42" fillId="0" borderId="0" xfId="0" applyFont="1" applyFill="1" applyBorder="1" applyAlignment="1" applyProtection="1">
      <alignment vertical="center"/>
    </xf>
    <xf numFmtId="3" fontId="152" fillId="15" borderId="87" xfId="0" applyNumberFormat="1" applyFont="1" applyFill="1" applyBorder="1" applyAlignment="1" applyProtection="1">
      <alignment horizontal="center" vertical="center"/>
    </xf>
    <xf numFmtId="0" fontId="17" fillId="0" borderId="94" xfId="0" applyFont="1" applyBorder="1" applyProtection="1"/>
    <xf numFmtId="0" fontId="17" fillId="0" borderId="95" xfId="0" applyFont="1" applyBorder="1" applyProtection="1"/>
    <xf numFmtId="0" fontId="17" fillId="0" borderId="96" xfId="0" applyFont="1" applyBorder="1" applyProtection="1"/>
    <xf numFmtId="0" fontId="117" fillId="19" borderId="0" xfId="0" applyFont="1" applyFill="1" applyBorder="1" applyAlignment="1" applyProtection="1">
      <alignment horizontal="right" vertical="center"/>
    </xf>
    <xf numFmtId="0" fontId="149" fillId="0" borderId="0" xfId="0" applyFont="1" applyAlignment="1" applyProtection="1">
      <alignment horizontal="right"/>
    </xf>
    <xf numFmtId="0" fontId="42" fillId="0" borderId="0" xfId="0" applyFont="1" applyAlignment="1" applyProtection="1">
      <alignment horizontal="center"/>
    </xf>
    <xf numFmtId="3" fontId="152" fillId="14" borderId="87" xfId="0" applyNumberFormat="1" applyFont="1" applyFill="1" applyBorder="1" applyAlignment="1" applyProtection="1">
      <alignment horizontal="center" vertical="center"/>
    </xf>
    <xf numFmtId="165" fontId="117" fillId="0" borderId="0" xfId="2" applyNumberFormat="1" applyFont="1" applyBorder="1" applyAlignment="1" applyProtection="1">
      <alignment horizontal="center" vertical="center"/>
    </xf>
    <xf numFmtId="3" fontId="149" fillId="0" borderId="0" xfId="0" applyNumberFormat="1" applyFont="1" applyBorder="1" applyAlignment="1" applyProtection="1">
      <alignment horizontal="center" vertical="center"/>
    </xf>
    <xf numFmtId="3" fontId="150" fillId="0" borderId="70" xfId="0" applyNumberFormat="1" applyFont="1" applyBorder="1" applyAlignment="1" applyProtection="1">
      <alignment horizontal="center" vertical="center"/>
    </xf>
    <xf numFmtId="0" fontId="153" fillId="0" borderId="0" xfId="0" applyFont="1" applyAlignment="1" applyProtection="1">
      <alignment horizontal="center"/>
    </xf>
    <xf numFmtId="0" fontId="42" fillId="0" borderId="0" xfId="0" applyFont="1" applyAlignment="1" applyProtection="1"/>
    <xf numFmtId="0" fontId="152" fillId="15" borderId="87" xfId="0" applyFont="1" applyFill="1" applyBorder="1" applyAlignment="1" applyProtection="1">
      <alignment horizontal="center" vertical="center"/>
    </xf>
    <xf numFmtId="3" fontId="154" fillId="0" borderId="0" xfId="0" applyNumberFormat="1" applyFont="1" applyBorder="1" applyAlignment="1" applyProtection="1">
      <alignment horizontal="center" vertical="center"/>
    </xf>
    <xf numFmtId="0" fontId="155" fillId="0" borderId="0" xfId="0" quotePrefix="1" applyFont="1" applyFill="1" applyBorder="1" applyAlignment="1" applyProtection="1"/>
    <xf numFmtId="0" fontId="155" fillId="0" borderId="0" xfId="0" applyFont="1" applyFill="1" applyBorder="1" applyAlignment="1" applyProtection="1">
      <alignment horizontal="center" vertical="center"/>
    </xf>
    <xf numFmtId="0" fontId="149" fillId="0" borderId="0" xfId="0" applyFont="1" applyBorder="1" applyAlignment="1" applyProtection="1">
      <alignment horizontal="right" vertical="center"/>
    </xf>
    <xf numFmtId="0" fontId="149" fillId="0" borderId="0" xfId="0" applyFont="1" applyBorder="1" applyAlignment="1" applyProtection="1">
      <alignment horizontal="left" vertical="center"/>
    </xf>
    <xf numFmtId="3" fontId="42" fillId="0" borderId="0" xfId="0" applyNumberFormat="1" applyFont="1" applyBorder="1" applyAlignment="1" applyProtection="1">
      <alignment horizontal="center"/>
    </xf>
    <xf numFmtId="0" fontId="117" fillId="0" borderId="0" xfId="0" applyFont="1" applyFill="1" applyBorder="1" applyAlignment="1" applyProtection="1">
      <alignment vertical="center"/>
    </xf>
    <xf numFmtId="0" fontId="17" fillId="0" borderId="0" xfId="0" applyFont="1" applyBorder="1" applyAlignment="1" applyProtection="1">
      <alignment vertical="center"/>
    </xf>
    <xf numFmtId="37" fontId="117" fillId="0" borderId="0" xfId="0" applyNumberFormat="1" applyFont="1" applyBorder="1" applyAlignment="1" applyProtection="1">
      <alignment horizontal="center" vertical="top"/>
    </xf>
    <xf numFmtId="0" fontId="17" fillId="0" borderId="0" xfId="0" applyFont="1" applyAlignment="1" applyProtection="1">
      <alignment horizontal="right"/>
    </xf>
    <xf numFmtId="0" fontId="17" fillId="19" borderId="0" xfId="0" applyFont="1" applyFill="1" applyBorder="1" applyProtection="1"/>
    <xf numFmtId="0" fontId="17" fillId="0" borderId="0" xfId="0" applyFont="1" applyFill="1" applyBorder="1" applyProtection="1"/>
    <xf numFmtId="0" fontId="42" fillId="0" borderId="0" xfId="0" applyFont="1" applyBorder="1" applyAlignment="1" applyProtection="1">
      <alignment horizontal="left" vertical="center"/>
    </xf>
    <xf numFmtId="0" fontId="111" fillId="0" borderId="0" xfId="0" applyFont="1" applyBorder="1" applyAlignment="1" applyProtection="1">
      <alignment horizontal="center"/>
    </xf>
    <xf numFmtId="0" fontId="147" fillId="23" borderId="97" xfId="7" applyFont="1" applyFill="1" applyBorder="1" applyAlignment="1">
      <alignment horizontal="right" vertical="center"/>
    </xf>
    <xf numFmtId="14" fontId="147" fillId="23" borderId="98" xfId="7" applyNumberFormat="1" applyFont="1" applyFill="1" applyBorder="1" applyAlignment="1">
      <alignment horizontal="center" vertical="center"/>
    </xf>
    <xf numFmtId="3" fontId="111" fillId="0" borderId="50" xfId="0" applyNumberFormat="1" applyFont="1" applyBorder="1" applyAlignment="1" applyProtection="1">
      <alignment horizontal="center" vertical="top"/>
    </xf>
    <xf numFmtId="0" fontId="99" fillId="0" borderId="0" xfId="0" applyFont="1" applyAlignment="1" applyProtection="1">
      <alignment horizontal="left" vertical="center"/>
    </xf>
    <xf numFmtId="0" fontId="1" fillId="0" borderId="0" xfId="0" applyFont="1" applyAlignment="1" applyProtection="1">
      <alignment horizontal="right" vertical="center"/>
    </xf>
    <xf numFmtId="0" fontId="28" fillId="0" borderId="0" xfId="0" applyFont="1" applyAlignment="1" applyProtection="1">
      <alignment horizontal="right" vertical="center"/>
    </xf>
    <xf numFmtId="0" fontId="99" fillId="0" borderId="0" xfId="0" applyFont="1" applyBorder="1" applyAlignment="1" applyProtection="1">
      <alignment horizontal="right" vertical="center"/>
    </xf>
    <xf numFmtId="0" fontId="112" fillId="0" borderId="0" xfId="0" applyFont="1" applyFill="1" applyBorder="1" applyAlignment="1" applyProtection="1">
      <alignment vertical="center"/>
    </xf>
    <xf numFmtId="0" fontId="46" fillId="0" borderId="0" xfId="0" applyFont="1" applyFill="1" applyBorder="1" applyAlignment="1" applyProtection="1">
      <alignment vertical="center" wrapText="1"/>
    </xf>
    <xf numFmtId="0" fontId="55" fillId="0" borderId="0" xfId="0" applyFont="1" applyFill="1" applyBorder="1" applyProtection="1"/>
    <xf numFmtId="0" fontId="101" fillId="0" borderId="100" xfId="0" applyFont="1" applyBorder="1" applyAlignment="1" applyProtection="1">
      <alignment horizontal="center"/>
    </xf>
    <xf numFmtId="0" fontId="158" fillId="0" borderId="0" xfId="0" applyFont="1" applyAlignment="1" applyProtection="1">
      <alignment horizontal="center"/>
    </xf>
    <xf numFmtId="3" fontId="159" fillId="0" borderId="19" xfId="0" applyNumberFormat="1" applyFont="1" applyBorder="1" applyAlignment="1" applyProtection="1">
      <alignment horizontal="center" vertical="center"/>
    </xf>
    <xf numFmtId="9" fontId="20" fillId="0" borderId="0" xfId="2" applyFont="1" applyBorder="1" applyAlignment="1" applyProtection="1">
      <alignment horizontal="center"/>
    </xf>
    <xf numFmtId="164" fontId="32" fillId="0" borderId="6" xfId="1" applyNumberFormat="1" applyFont="1" applyBorder="1" applyAlignment="1">
      <alignment horizontal="right"/>
    </xf>
    <xf numFmtId="164" fontId="160" fillId="0" borderId="1" xfId="1" applyNumberFormat="1" applyFont="1" applyBorder="1" applyAlignment="1">
      <alignment horizontal="center"/>
    </xf>
    <xf numFmtId="1" fontId="32" fillId="0" borderId="20" xfId="1" applyNumberFormat="1" applyFont="1" applyBorder="1" applyAlignment="1">
      <alignment horizontal="right"/>
    </xf>
    <xf numFmtId="9" fontId="32" fillId="0" borderId="0" xfId="2" applyFont="1" applyAlignment="1">
      <alignment horizontal="left"/>
    </xf>
    <xf numFmtId="165" fontId="28" fillId="0" borderId="74" xfId="2" applyNumberFormat="1" applyFont="1" applyBorder="1" applyAlignment="1" applyProtection="1">
      <alignment horizontal="center" vertical="center"/>
      <protection locked="0"/>
    </xf>
    <xf numFmtId="0" fontId="159" fillId="0" borderId="74" xfId="0" applyFont="1" applyFill="1" applyBorder="1" applyAlignment="1" applyProtection="1">
      <alignment horizontal="right" vertical="center"/>
      <protection locked="0"/>
    </xf>
    <xf numFmtId="3" fontId="74" fillId="0" borderId="74" xfId="0" applyNumberFormat="1" applyFont="1" applyFill="1" applyBorder="1" applyAlignment="1" applyProtection="1">
      <alignment horizontal="center" vertical="center"/>
      <protection locked="0"/>
    </xf>
    <xf numFmtId="0" fontId="5" fillId="0" borderId="74" xfId="0" applyFont="1" applyFill="1" applyBorder="1" applyAlignment="1" applyProtection="1">
      <alignment horizontal="center" vertical="center"/>
      <protection locked="0"/>
    </xf>
    <xf numFmtId="3" fontId="28" fillId="7" borderId="74" xfId="0" applyNumberFormat="1" applyFont="1" applyFill="1" applyBorder="1" applyAlignment="1" applyProtection="1">
      <alignment horizontal="center" vertical="center"/>
      <protection locked="0"/>
    </xf>
    <xf numFmtId="9" fontId="64" fillId="0" borderId="6" xfId="2" applyFont="1" applyFill="1" applyBorder="1" applyAlignment="1" applyProtection="1">
      <alignment horizontal="center"/>
    </xf>
    <xf numFmtId="0" fontId="54" fillId="22" borderId="83" xfId="7" applyFont="1" applyFill="1" applyBorder="1"/>
    <xf numFmtId="0" fontId="162" fillId="0" borderId="0" xfId="7" applyFont="1" applyAlignment="1">
      <alignment horizontal="center"/>
    </xf>
    <xf numFmtId="0" fontId="163" fillId="0" borderId="0" xfId="7" applyFont="1" applyAlignment="1">
      <alignment horizontal="center"/>
    </xf>
    <xf numFmtId="0" fontId="96" fillId="0" borderId="0" xfId="3" applyFont="1" applyAlignment="1">
      <alignment horizontal="left" vertical="top" wrapText="1"/>
    </xf>
    <xf numFmtId="0" fontId="167" fillId="0" borderId="0" xfId="7" applyFont="1" applyFill="1" applyBorder="1" applyAlignment="1" applyProtection="1">
      <alignment horizontal="left" vertical="center"/>
      <protection locked="0"/>
    </xf>
    <xf numFmtId="0" fontId="68" fillId="0" borderId="0" xfId="7" applyFont="1" applyBorder="1" applyAlignment="1">
      <alignment vertical="top"/>
    </xf>
    <xf numFmtId="0" fontId="69" fillId="0" borderId="0" xfId="7" applyFont="1" applyBorder="1" applyAlignment="1">
      <alignment vertical="top" wrapText="1"/>
    </xf>
    <xf numFmtId="0" fontId="54" fillId="0" borderId="0" xfId="7" applyFont="1"/>
    <xf numFmtId="0" fontId="68" fillId="0" borderId="0" xfId="7" applyFont="1" applyAlignment="1">
      <alignment horizontal="center"/>
    </xf>
    <xf numFmtId="3" fontId="69" fillId="0" borderId="0" xfId="4" quotePrefix="1" applyNumberFormat="1" applyFont="1" applyFill="1" applyBorder="1" applyAlignment="1">
      <alignment horizontal="center"/>
    </xf>
    <xf numFmtId="37" fontId="163" fillId="0" borderId="0" xfId="7" applyNumberFormat="1" applyFont="1" applyAlignment="1">
      <alignment horizontal="left" vertical="top"/>
    </xf>
    <xf numFmtId="0" fontId="78" fillId="0" borderId="0" xfId="0" applyFont="1" applyFill="1" applyBorder="1" applyAlignment="1">
      <alignment horizontal="center" vertical="top"/>
    </xf>
    <xf numFmtId="0" fontId="148" fillId="0" borderId="0" xfId="7" applyFont="1" applyAlignment="1">
      <alignment horizontal="center"/>
    </xf>
    <xf numFmtId="0" fontId="163" fillId="0" borderId="0" xfId="7" applyFont="1" applyAlignment="1"/>
    <xf numFmtId="0" fontId="169" fillId="0" borderId="0" xfId="0" applyFont="1" applyFill="1" applyBorder="1" applyAlignment="1">
      <alignment vertical="top"/>
    </xf>
    <xf numFmtId="37" fontId="148" fillId="0" borderId="0" xfId="7" applyNumberFormat="1" applyFont="1" applyAlignment="1">
      <alignment horizontal="center"/>
    </xf>
    <xf numFmtId="37" fontId="78" fillId="0" borderId="0" xfId="4" applyNumberFormat="1" applyFont="1" applyFill="1" applyBorder="1" applyAlignment="1">
      <alignment horizontal="center"/>
    </xf>
    <xf numFmtId="3" fontId="78" fillId="0" borderId="0" xfId="4" applyNumberFormat="1" applyFont="1" applyFill="1" applyBorder="1" applyAlignment="1">
      <alignment horizontal="center"/>
    </xf>
    <xf numFmtId="0" fontId="169" fillId="0" borderId="0" xfId="7" applyFont="1"/>
    <xf numFmtId="9" fontId="163" fillId="0" borderId="0" xfId="7" applyNumberFormat="1" applyFont="1" applyAlignment="1">
      <alignment horizontal="center"/>
    </xf>
    <xf numFmtId="0" fontId="148" fillId="0" borderId="0" xfId="7" applyFont="1" applyAlignment="1"/>
    <xf numFmtId="38" fontId="78" fillId="0" borderId="0" xfId="4" applyNumberFormat="1" applyFont="1" applyFill="1" applyBorder="1" applyAlignment="1"/>
    <xf numFmtId="38" fontId="163" fillId="0" borderId="0" xfId="7" applyNumberFormat="1" applyFont="1" applyAlignment="1">
      <alignment horizontal="center"/>
    </xf>
    <xf numFmtId="165" fontId="163" fillId="0" borderId="0" xfId="2" applyNumberFormat="1" applyFont="1" applyAlignment="1">
      <alignment horizontal="center" vertical="center"/>
    </xf>
    <xf numFmtId="3" fontId="78" fillId="0" borderId="0" xfId="4" applyNumberFormat="1" applyFont="1" applyFill="1" applyBorder="1" applyAlignment="1"/>
    <xf numFmtId="0" fontId="170" fillId="0" borderId="0" xfId="3" applyFont="1" applyAlignment="1">
      <alignment vertical="center"/>
    </xf>
    <xf numFmtId="0" fontId="96" fillId="0" borderId="0" xfId="0" applyFont="1" applyFill="1" applyAlignment="1" applyProtection="1">
      <alignment horizontal="left" vertical="center"/>
    </xf>
    <xf numFmtId="0" fontId="96" fillId="0" borderId="0" xfId="0" applyFont="1" applyBorder="1" applyAlignment="1" applyProtection="1">
      <alignment horizontal="left" vertical="center"/>
    </xf>
    <xf numFmtId="0" fontId="96" fillId="0" borderId="59" xfId="0" applyFont="1" applyBorder="1" applyAlignment="1" applyProtection="1">
      <alignment horizontal="left" vertical="center"/>
    </xf>
    <xf numFmtId="0" fontId="96" fillId="0" borderId="60" xfId="0" applyFont="1" applyBorder="1" applyAlignment="1" applyProtection="1">
      <alignment horizontal="left" vertical="center"/>
    </xf>
    <xf numFmtId="0" fontId="96" fillId="0" borderId="64" xfId="0" applyFont="1" applyBorder="1" applyAlignment="1" applyProtection="1">
      <alignment horizontal="left"/>
    </xf>
    <xf numFmtId="0" fontId="96" fillId="0" borderId="65" xfId="0" applyFont="1" applyBorder="1" applyAlignment="1" applyProtection="1">
      <alignment horizontal="left"/>
    </xf>
    <xf numFmtId="0" fontId="96" fillId="0" borderId="0" xfId="0" applyFont="1" applyBorder="1" applyAlignment="1" applyProtection="1">
      <alignment horizontal="left"/>
    </xf>
    <xf numFmtId="0" fontId="96" fillId="0" borderId="0" xfId="0" applyFont="1" applyFill="1" applyAlignment="1" applyProtection="1">
      <alignment horizontal="left" vertical="center"/>
    </xf>
    <xf numFmtId="3" fontId="20" fillId="0" borderId="0" xfId="0" applyNumberFormat="1" applyFont="1" applyBorder="1" applyAlignment="1" applyProtection="1">
      <alignment vertical="center"/>
    </xf>
    <xf numFmtId="0" fontId="80" fillId="26" borderId="74" xfId="0" applyFont="1" applyFill="1" applyBorder="1" applyAlignment="1">
      <alignment horizontal="center" vertical="center" wrapText="1"/>
    </xf>
    <xf numFmtId="9" fontId="111" fillId="0" borderId="103" xfId="2" applyFont="1" applyBorder="1" applyAlignment="1" applyProtection="1">
      <alignment horizontal="center" vertical="center"/>
    </xf>
    <xf numFmtId="3" fontId="28" fillId="0" borderId="0" xfId="0" applyNumberFormat="1" applyFont="1" applyBorder="1" applyAlignment="1" applyProtection="1">
      <alignment horizontal="center" vertical="center"/>
    </xf>
    <xf numFmtId="0" fontId="127" fillId="19" borderId="0" xfId="0" applyFont="1" applyFill="1" applyBorder="1" applyAlignment="1" applyProtection="1">
      <alignment horizontal="right" vertical="center"/>
    </xf>
    <xf numFmtId="172" fontId="72" fillId="0" borderId="0" xfId="7" applyNumberFormat="1" applyFont="1" applyAlignment="1" applyProtection="1">
      <alignment horizontal="center"/>
    </xf>
    <xf numFmtId="0" fontId="72" fillId="0" borderId="0" xfId="7" applyNumberFormat="1" applyFont="1" applyAlignment="1" applyProtection="1">
      <alignment horizontal="center" vertical="center"/>
    </xf>
    <xf numFmtId="1" fontId="68" fillId="0" borderId="0" xfId="0" quotePrefix="1" applyNumberFormat="1" applyFont="1" applyFill="1" applyBorder="1" applyAlignment="1" applyProtection="1">
      <alignment horizontal="center" vertical="center"/>
    </xf>
    <xf numFmtId="1" fontId="68" fillId="0" borderId="0" xfId="0" quotePrefix="1" applyNumberFormat="1" applyFont="1" applyFill="1" applyBorder="1" applyAlignment="1" applyProtection="1">
      <alignment horizontal="center"/>
    </xf>
    <xf numFmtId="3" fontId="173" fillId="0" borderId="0" xfId="0" applyNumberFormat="1" applyFont="1" applyBorder="1" applyAlignment="1" applyProtection="1">
      <alignment horizontal="center" vertical="top"/>
    </xf>
    <xf numFmtId="1" fontId="64" fillId="0" borderId="0" xfId="0" applyNumberFormat="1" applyFont="1" applyAlignment="1">
      <alignment horizontal="center"/>
    </xf>
    <xf numFmtId="0" fontId="101" fillId="0" borderId="0" xfId="0" applyFont="1" applyFill="1" applyBorder="1" applyAlignment="1" applyProtection="1">
      <alignment horizontal="right"/>
    </xf>
    <xf numFmtId="0" fontId="84" fillId="23" borderId="19" xfId="7" applyFont="1" applyFill="1" applyBorder="1" applyAlignment="1" applyProtection="1">
      <alignment horizontal="center" vertical="center" wrapText="1"/>
    </xf>
    <xf numFmtId="37" fontId="68" fillId="0" borderId="0" xfId="0" applyNumberFormat="1" applyFont="1" applyBorder="1" applyAlignment="1" applyProtection="1">
      <alignment horizontal="center"/>
    </xf>
    <xf numFmtId="1" fontId="68" fillId="0" borderId="8" xfId="0" quotePrefix="1" applyNumberFormat="1" applyFont="1" applyFill="1" applyBorder="1" applyAlignment="1" applyProtection="1">
      <alignment horizontal="center"/>
    </xf>
    <xf numFmtId="37" fontId="64" fillId="0" borderId="0" xfId="1" applyNumberFormat="1" applyFont="1" applyAlignment="1">
      <alignment horizontal="center"/>
    </xf>
    <xf numFmtId="37" fontId="60" fillId="0" borderId="0" xfId="0" applyNumberFormat="1" applyFont="1" applyBorder="1" applyAlignment="1">
      <alignment horizontal="center"/>
    </xf>
    <xf numFmtId="0" fontId="96" fillId="0" borderId="0" xfId="0" applyFont="1" applyBorder="1" applyAlignment="1" applyProtection="1">
      <alignment horizontal="left"/>
    </xf>
    <xf numFmtId="3" fontId="20" fillId="0" borderId="8" xfId="0" applyNumberFormat="1" applyFont="1" applyBorder="1" applyAlignment="1" applyProtection="1">
      <alignment horizontal="center" vertical="center"/>
    </xf>
    <xf numFmtId="0" fontId="0" fillId="0" borderId="8" xfId="0" applyBorder="1" applyProtection="1"/>
    <xf numFmtId="0" fontId="118" fillId="0" borderId="6" xfId="0" applyFont="1" applyFill="1" applyBorder="1" applyAlignment="1" applyProtection="1">
      <alignment vertical="center"/>
    </xf>
    <xf numFmtId="0" fontId="127" fillId="19" borderId="0" xfId="0" applyFont="1" applyFill="1" applyBorder="1" applyAlignment="1" applyProtection="1">
      <alignment vertical="center"/>
    </xf>
    <xf numFmtId="0" fontId="101" fillId="0" borderId="0" xfId="0" applyFont="1" applyAlignment="1" applyProtection="1">
      <alignment horizontal="center" vertical="top"/>
    </xf>
    <xf numFmtId="37" fontId="68" fillId="0" borderId="8" xfId="0" applyNumberFormat="1" applyFont="1" applyBorder="1" applyAlignment="1" applyProtection="1">
      <alignment horizontal="center"/>
    </xf>
    <xf numFmtId="9" fontId="28" fillId="0" borderId="74" xfId="2" applyNumberFormat="1" applyFont="1" applyBorder="1" applyAlignment="1" applyProtection="1">
      <alignment horizontal="center" vertical="center"/>
      <protection locked="0"/>
    </xf>
    <xf numFmtId="0" fontId="149" fillId="0" borderId="0" xfId="0" applyFont="1" applyFill="1" applyBorder="1" applyAlignment="1" applyProtection="1">
      <alignment horizontal="right" vertical="center"/>
    </xf>
    <xf numFmtId="0" fontId="149" fillId="0" borderId="87" xfId="0" applyFont="1" applyBorder="1" applyAlignment="1" applyProtection="1">
      <alignment horizontal="center" vertical="center"/>
      <protection locked="0"/>
    </xf>
    <xf numFmtId="0" fontId="149" fillId="0" borderId="87" xfId="0" applyFont="1" applyFill="1" applyBorder="1" applyAlignment="1" applyProtection="1">
      <alignment horizontal="center" vertical="center"/>
      <protection locked="0"/>
    </xf>
    <xf numFmtId="9" fontId="149" fillId="0" borderId="87" xfId="2" applyFont="1" applyBorder="1" applyAlignment="1" applyProtection="1">
      <alignment horizontal="center" vertical="center"/>
      <protection locked="0"/>
    </xf>
    <xf numFmtId="0" fontId="149" fillId="0" borderId="0" xfId="0" applyFont="1" applyProtection="1"/>
    <xf numFmtId="165" fontId="149" fillId="18" borderId="87" xfId="2" applyNumberFormat="1" applyFont="1" applyFill="1" applyBorder="1" applyAlignment="1" applyProtection="1">
      <alignment horizontal="center" vertical="center"/>
      <protection locked="0"/>
    </xf>
    <xf numFmtId="0" fontId="149" fillId="19" borderId="0" xfId="0" applyFont="1" applyFill="1" applyBorder="1" applyAlignment="1" applyProtection="1">
      <alignment vertical="center" wrapText="1"/>
    </xf>
    <xf numFmtId="9" fontId="149" fillId="0" borderId="0" xfId="2" applyFont="1" applyBorder="1" applyAlignment="1" applyProtection="1">
      <alignment horizontal="center"/>
    </xf>
    <xf numFmtId="0" fontId="20" fillId="0" borderId="0" xfId="0" applyFont="1" applyBorder="1" applyAlignment="1" applyProtection="1">
      <alignment horizontal="center"/>
    </xf>
    <xf numFmtId="3" fontId="149" fillId="0" borderId="87" xfId="0" applyNumberFormat="1" applyFont="1" applyBorder="1" applyAlignment="1" applyProtection="1">
      <alignment horizontal="center" vertical="center"/>
      <protection locked="0"/>
    </xf>
    <xf numFmtId="0" fontId="28" fillId="0" borderId="69" xfId="0" applyFont="1" applyFill="1" applyBorder="1" applyAlignment="1" applyProtection="1">
      <alignment horizontal="right" vertical="center"/>
      <protection locked="0"/>
    </xf>
    <xf numFmtId="9" fontId="149" fillId="0" borderId="0" xfId="2" applyFont="1" applyFill="1" applyBorder="1" applyAlignment="1" applyProtection="1">
      <alignment horizontal="center"/>
    </xf>
    <xf numFmtId="0" fontId="149" fillId="7" borderId="0" xfId="0" applyFont="1" applyFill="1" applyBorder="1" applyAlignment="1" applyProtection="1">
      <alignment horizontal="center" vertical="center"/>
    </xf>
    <xf numFmtId="0" fontId="20" fillId="0" borderId="0" xfId="0" applyFont="1" applyAlignment="1" applyProtection="1">
      <alignment horizontal="center"/>
    </xf>
    <xf numFmtId="3" fontId="149" fillId="0" borderId="0" xfId="0" applyNumberFormat="1" applyFont="1" applyBorder="1" applyAlignment="1" applyProtection="1">
      <alignment horizontal="center"/>
    </xf>
    <xf numFmtId="165" fontId="152" fillId="15" borderId="87" xfId="2" applyNumberFormat="1" applyFont="1" applyFill="1" applyBorder="1" applyAlignment="1" applyProtection="1">
      <alignment horizontal="center" vertical="center"/>
    </xf>
    <xf numFmtId="165" fontId="149" fillId="0" borderId="0" xfId="2" applyNumberFormat="1" applyFont="1" applyBorder="1" applyAlignment="1" applyProtection="1">
      <alignment horizontal="center"/>
    </xf>
    <xf numFmtId="165" fontId="149" fillId="0" borderId="87" xfId="2" applyNumberFormat="1" applyFont="1" applyBorder="1" applyAlignment="1" applyProtection="1">
      <alignment horizontal="center" vertical="center"/>
      <protection locked="0"/>
    </xf>
    <xf numFmtId="0" fontId="149" fillId="0" borderId="0" xfId="0" applyFont="1" applyBorder="1" applyAlignment="1" applyProtection="1">
      <alignment horizontal="center"/>
    </xf>
    <xf numFmtId="0" fontId="149" fillId="0" borderId="0" xfId="0" applyFont="1" applyBorder="1" applyProtection="1"/>
    <xf numFmtId="0" fontId="149" fillId="0" borderId="0" xfId="0" applyFont="1" applyFill="1" applyBorder="1" applyAlignment="1" applyProtection="1">
      <alignment vertical="center" wrapText="1"/>
    </xf>
    <xf numFmtId="3" fontId="149" fillId="0" borderId="87" xfId="0" applyNumberFormat="1" applyFont="1" applyFill="1" applyBorder="1" applyAlignment="1" applyProtection="1">
      <alignment horizontal="center" vertical="center"/>
      <protection locked="0"/>
    </xf>
    <xf numFmtId="0" fontId="149" fillId="0" borderId="0" xfId="0" applyFont="1" applyBorder="1" applyAlignment="1" applyProtection="1">
      <alignment horizontal="center" vertical="center"/>
    </xf>
    <xf numFmtId="3" fontId="28" fillId="0" borderId="87" xfId="0" applyNumberFormat="1" applyFont="1" applyBorder="1" applyAlignment="1" applyProtection="1">
      <alignment horizontal="center" vertical="center"/>
    </xf>
    <xf numFmtId="9" fontId="28" fillId="0" borderId="0" xfId="2" applyFont="1" applyBorder="1" applyAlignment="1" applyProtection="1">
      <alignment horizontal="center" vertical="center"/>
    </xf>
    <xf numFmtId="3" fontId="149" fillId="0" borderId="87" xfId="0" applyNumberFormat="1" applyFont="1" applyBorder="1" applyAlignment="1" applyProtection="1">
      <alignment horizontal="center" vertical="top"/>
      <protection locked="0"/>
    </xf>
    <xf numFmtId="9" fontId="149" fillId="0" borderId="0" xfId="2" applyFont="1" applyBorder="1" applyAlignment="1" applyProtection="1">
      <alignment horizontal="center" vertical="top"/>
    </xf>
    <xf numFmtId="37" fontId="149" fillId="0" borderId="87" xfId="0" applyNumberFormat="1" applyFont="1" applyBorder="1" applyAlignment="1" applyProtection="1">
      <alignment horizontal="center" vertical="top"/>
      <protection locked="0"/>
    </xf>
    <xf numFmtId="3" fontId="149" fillId="0" borderId="0" xfId="0" applyNumberFormat="1" applyFont="1" applyBorder="1" applyAlignment="1" applyProtection="1">
      <alignment horizontal="center" vertical="top"/>
    </xf>
    <xf numFmtId="37" fontId="149" fillId="0" borderId="0" xfId="0" applyNumberFormat="1" applyFont="1" applyBorder="1" applyAlignment="1" applyProtection="1">
      <alignment horizontal="center" vertical="top"/>
    </xf>
    <xf numFmtId="0" fontId="28" fillId="0" borderId="87" xfId="0" applyFont="1" applyFill="1" applyBorder="1" applyAlignment="1" applyProtection="1">
      <alignment horizontal="right" vertical="center"/>
      <protection locked="0"/>
    </xf>
    <xf numFmtId="0" fontId="28" fillId="0" borderId="48" xfId="0" applyFont="1" applyFill="1" applyBorder="1" applyAlignment="1" applyProtection="1">
      <alignment horizontal="right" vertical="center"/>
      <protection locked="0"/>
    </xf>
    <xf numFmtId="0" fontId="28" fillId="0" borderId="55" xfId="0" applyFont="1" applyFill="1" applyBorder="1" applyAlignment="1" applyProtection="1">
      <alignment horizontal="right" vertical="center"/>
      <protection locked="0"/>
    </xf>
    <xf numFmtId="0" fontId="28" fillId="0" borderId="54" xfId="0" applyFont="1" applyFill="1" applyBorder="1" applyAlignment="1" applyProtection="1">
      <alignment horizontal="right" vertical="center"/>
      <protection locked="0"/>
    </xf>
    <xf numFmtId="0" fontId="28" fillId="0" borderId="49" xfId="0" applyFont="1" applyFill="1" applyBorder="1" applyAlignment="1" applyProtection="1">
      <alignment horizontal="right" vertical="center"/>
    </xf>
    <xf numFmtId="0" fontId="28" fillId="0" borderId="49" xfId="0" applyFont="1" applyFill="1" applyBorder="1" applyAlignment="1" applyProtection="1">
      <alignment vertical="center"/>
    </xf>
    <xf numFmtId="0" fontId="28" fillId="0" borderId="51" xfId="0" applyFont="1" applyFill="1" applyBorder="1" applyAlignment="1" applyProtection="1">
      <alignment horizontal="right" vertical="center"/>
      <protection locked="0"/>
    </xf>
    <xf numFmtId="0" fontId="28" fillId="0" borderId="99" xfId="0" applyFont="1" applyFill="1" applyBorder="1" applyAlignment="1" applyProtection="1">
      <alignment horizontal="right" vertical="center"/>
      <protection locked="0"/>
    </xf>
    <xf numFmtId="0" fontId="149" fillId="19" borderId="0" xfId="0" applyFont="1" applyFill="1" applyBorder="1" applyAlignment="1" applyProtection="1">
      <alignment horizontal="right" vertical="center"/>
    </xf>
    <xf numFmtId="0" fontId="28" fillId="0" borderId="87" xfId="0" applyFont="1" applyBorder="1" applyAlignment="1" applyProtection="1">
      <alignment horizontal="right" vertical="center"/>
      <protection locked="0"/>
    </xf>
    <xf numFmtId="1" fontId="149" fillId="0" borderId="87" xfId="0" applyNumberFormat="1" applyFont="1" applyFill="1" applyBorder="1" applyAlignment="1" applyProtection="1">
      <alignment horizontal="center" vertical="center"/>
      <protection locked="0"/>
    </xf>
    <xf numFmtId="0" fontId="163" fillId="0" borderId="0" xfId="0" applyFont="1" applyFill="1" applyBorder="1" applyAlignment="1" applyProtection="1">
      <alignment vertical="center"/>
    </xf>
    <xf numFmtId="0" fontId="101" fillId="0" borderId="0" xfId="0" applyFont="1" applyAlignment="1" applyProtection="1">
      <alignment horizontal="right"/>
    </xf>
    <xf numFmtId="0" fontId="100" fillId="0" borderId="0" xfId="0" applyFont="1" applyAlignment="1" applyProtection="1">
      <alignment horizontal="center"/>
    </xf>
    <xf numFmtId="0" fontId="100" fillId="0" borderId="0" xfId="0" applyFont="1" applyAlignment="1" applyProtection="1">
      <alignment horizontal="right"/>
    </xf>
    <xf numFmtId="0" fontId="149" fillId="0" borderId="105" xfId="0" applyFont="1" applyBorder="1" applyAlignment="1" applyProtection="1">
      <alignment horizontal="center" vertical="center"/>
      <protection locked="0"/>
    </xf>
    <xf numFmtId="14" fontId="177" fillId="15" borderId="87" xfId="0" applyNumberFormat="1" applyFont="1" applyFill="1" applyBorder="1" applyAlignment="1" applyProtection="1">
      <alignment horizontal="center" vertical="center"/>
    </xf>
    <xf numFmtId="0" fontId="178" fillId="0" borderId="0" xfId="0" applyFont="1" applyProtection="1"/>
    <xf numFmtId="5" fontId="111" fillId="0" borderId="101" xfId="0" applyNumberFormat="1" applyFont="1" applyBorder="1" applyAlignment="1" applyProtection="1">
      <alignment horizontal="center" vertical="center"/>
    </xf>
    <xf numFmtId="5" fontId="20" fillId="0" borderId="74" xfId="0" applyNumberFormat="1" applyFont="1" applyBorder="1" applyAlignment="1" applyProtection="1">
      <alignment horizontal="center" vertical="center"/>
      <protection locked="0"/>
    </xf>
    <xf numFmtId="5" fontId="20" fillId="7" borderId="74" xfId="0" applyNumberFormat="1" applyFont="1" applyFill="1" applyBorder="1" applyAlignment="1" applyProtection="1">
      <alignment horizontal="center" vertical="center"/>
      <protection locked="0"/>
    </xf>
    <xf numFmtId="165" fontId="20" fillId="0" borderId="74" xfId="2" applyNumberFormat="1" applyFont="1" applyBorder="1" applyAlignment="1" applyProtection="1">
      <alignment horizontal="center" vertical="center"/>
      <protection locked="0"/>
    </xf>
    <xf numFmtId="0" fontId="100" fillId="23" borderId="97" xfId="7" applyFont="1" applyFill="1" applyBorder="1" applyAlignment="1" applyProtection="1">
      <alignment horizontal="center" vertical="center"/>
    </xf>
    <xf numFmtId="0" fontId="100" fillId="23" borderId="106" xfId="7" applyFont="1" applyFill="1" applyBorder="1" applyAlignment="1" applyProtection="1">
      <alignment horizontal="center" vertical="center"/>
    </xf>
    <xf numFmtId="0" fontId="101" fillId="23" borderId="98" xfId="7" applyFont="1" applyFill="1" applyBorder="1" applyAlignment="1" applyProtection="1">
      <alignment horizontal="center" vertical="center"/>
    </xf>
    <xf numFmtId="0" fontId="78" fillId="0" borderId="74" xfId="0" applyFont="1" applyFill="1" applyBorder="1" applyAlignment="1" applyProtection="1">
      <alignment horizontal="center" vertical="center"/>
      <protection locked="0"/>
    </xf>
    <xf numFmtId="38" fontId="181" fillId="0" borderId="0" xfId="0" applyNumberFormat="1" applyFont="1" applyFill="1" applyBorder="1"/>
    <xf numFmtId="0" fontId="182" fillId="0" borderId="0" xfId="0" applyFont="1" applyProtection="1"/>
    <xf numFmtId="0" fontId="74" fillId="19" borderId="74" xfId="0" applyFont="1" applyFill="1" applyBorder="1" applyAlignment="1" applyProtection="1">
      <alignment horizontal="center" vertical="center"/>
      <protection locked="0"/>
    </xf>
    <xf numFmtId="171" fontId="20" fillId="0" borderId="74" xfId="7" applyNumberFormat="1" applyFont="1" applyBorder="1" applyAlignment="1" applyProtection="1">
      <alignment horizontal="center" vertical="center"/>
      <protection locked="0"/>
    </xf>
    <xf numFmtId="0" fontId="186" fillId="0" borderId="44" xfId="0" applyFont="1" applyFill="1" applyBorder="1" applyAlignment="1" applyProtection="1">
      <alignment vertical="center"/>
    </xf>
    <xf numFmtId="0" fontId="186" fillId="0" borderId="45" xfId="0" applyFont="1" applyFill="1" applyBorder="1" applyAlignment="1" applyProtection="1">
      <alignment vertical="center"/>
    </xf>
    <xf numFmtId="3" fontId="186" fillId="0" borderId="45" xfId="0" applyNumberFormat="1" applyFont="1" applyFill="1" applyBorder="1" applyAlignment="1" applyProtection="1">
      <alignment horizontal="center" vertical="center"/>
    </xf>
    <xf numFmtId="37" fontId="80" fillId="26" borderId="74" xfId="0" applyNumberFormat="1" applyFont="1" applyFill="1" applyBorder="1" applyAlignment="1">
      <alignment horizontal="center" vertical="center" wrapText="1"/>
    </xf>
    <xf numFmtId="37" fontId="91" fillId="0" borderId="0" xfId="2" applyNumberFormat="1" applyFont="1" applyAlignment="1">
      <alignment horizontal="center" vertical="top"/>
    </xf>
    <xf numFmtId="37" fontId="64" fillId="0" borderId="0" xfId="0" applyNumberFormat="1" applyFont="1" applyAlignment="1">
      <alignment horizontal="center"/>
    </xf>
    <xf numFmtId="37" fontId="58" fillId="0" borderId="0" xfId="0" applyNumberFormat="1" applyFont="1" applyAlignment="1">
      <alignment horizontal="center"/>
    </xf>
    <xf numFmtId="0" fontId="8" fillId="0" borderId="0" xfId="3" quotePrefix="1" applyFont="1" applyAlignment="1" applyProtection="1">
      <alignment horizontal="left"/>
    </xf>
    <xf numFmtId="37" fontId="63" fillId="23" borderId="0" xfId="0" applyNumberFormat="1" applyFont="1" applyFill="1" applyAlignment="1">
      <alignment horizontal="center"/>
    </xf>
    <xf numFmtId="0" fontId="63" fillId="23" borderId="0" xfId="0" applyFont="1" applyFill="1" applyBorder="1" applyAlignment="1">
      <alignment horizontal="center"/>
    </xf>
    <xf numFmtId="1" fontId="80" fillId="23" borderId="0" xfId="0" quotePrefix="1" applyNumberFormat="1" applyFont="1" applyFill="1" applyBorder="1" applyAlignment="1" applyProtection="1">
      <alignment horizontal="center"/>
    </xf>
    <xf numFmtId="38" fontId="63" fillId="23" borderId="0" xfId="0" applyNumberFormat="1" applyFont="1" applyFill="1" applyAlignment="1">
      <alignment horizontal="center"/>
    </xf>
    <xf numFmtId="38" fontId="63" fillId="23" borderId="0" xfId="0" applyNumberFormat="1" applyFont="1" applyFill="1" applyBorder="1" applyAlignment="1">
      <alignment horizontal="center"/>
    </xf>
    <xf numFmtId="38" fontId="63" fillId="23" borderId="0" xfId="1" applyNumberFormat="1" applyFont="1" applyFill="1" applyAlignment="1">
      <alignment horizontal="center"/>
    </xf>
    <xf numFmtId="38" fontId="63" fillId="23" borderId="0" xfId="1" applyNumberFormat="1" applyFont="1" applyFill="1" applyBorder="1" applyAlignment="1">
      <alignment horizontal="center"/>
    </xf>
    <xf numFmtId="37" fontId="63" fillId="23" borderId="0" xfId="1" applyNumberFormat="1" applyFont="1" applyFill="1" applyAlignment="1">
      <alignment horizontal="center"/>
    </xf>
    <xf numFmtId="0" fontId="63" fillId="23" borderId="0" xfId="0" applyFont="1" applyFill="1" applyAlignment="1">
      <alignment horizontal="center"/>
    </xf>
    <xf numFmtId="0" fontId="145" fillId="6" borderId="0" xfId="0" applyFont="1" applyFill="1" applyBorder="1" applyAlignment="1">
      <alignment vertical="center"/>
    </xf>
    <xf numFmtId="0" fontId="161" fillId="10" borderId="83" xfId="7" applyFont="1" applyFill="1" applyBorder="1" applyAlignment="1">
      <alignment horizontal="center" vertical="center"/>
    </xf>
    <xf numFmtId="0" fontId="180" fillId="10" borderId="83" xfId="7" applyFont="1" applyFill="1" applyBorder="1" applyAlignment="1">
      <alignment horizontal="center" vertical="center"/>
    </xf>
    <xf numFmtId="0" fontId="159" fillId="0" borderId="0" xfId="0" applyFont="1" applyFill="1" applyBorder="1" applyAlignment="1" applyProtection="1">
      <alignment horizontal="right" vertical="center"/>
    </xf>
    <xf numFmtId="0" fontId="28" fillId="0" borderId="0" xfId="0" applyFont="1" applyBorder="1" applyAlignment="1" applyProtection="1">
      <alignment horizontal="center" vertical="center"/>
    </xf>
    <xf numFmtId="3" fontId="190" fillId="3" borderId="27" xfId="0" applyNumberFormat="1" applyFont="1" applyFill="1" applyBorder="1" applyAlignment="1" applyProtection="1">
      <alignment horizontal="center"/>
      <protection locked="0"/>
    </xf>
    <xf numFmtId="3" fontId="190" fillId="9" borderId="0" xfId="1" applyNumberFormat="1" applyFont="1" applyFill="1" applyAlignment="1" applyProtection="1">
      <alignment horizontal="center"/>
      <protection locked="0"/>
    </xf>
    <xf numFmtId="3" fontId="175" fillId="9" borderId="27" xfId="1" applyNumberFormat="1" applyFont="1" applyFill="1" applyBorder="1" applyAlignment="1" applyProtection="1">
      <alignment horizontal="center"/>
      <protection locked="0"/>
    </xf>
    <xf numFmtId="3" fontId="190" fillId="9" borderId="27" xfId="0" applyNumberFormat="1" applyFont="1" applyFill="1" applyBorder="1" applyAlignment="1" applyProtection="1">
      <alignment horizontal="center"/>
      <protection locked="0"/>
    </xf>
    <xf numFmtId="3" fontId="41" fillId="0" borderId="0" xfId="1" applyNumberFormat="1" applyFont="1" applyFill="1" applyBorder="1" applyAlignment="1" applyProtection="1">
      <alignment horizontal="center"/>
      <protection locked="0"/>
    </xf>
    <xf numFmtId="0" fontId="96" fillId="0" borderId="0" xfId="0" applyFont="1" applyFill="1" applyAlignment="1" applyProtection="1">
      <alignment horizontal="left" vertical="center"/>
    </xf>
    <xf numFmtId="3" fontId="84" fillId="19" borderId="74" xfId="0" applyNumberFormat="1" applyFont="1" applyFill="1" applyBorder="1" applyAlignment="1" applyProtection="1">
      <alignment horizontal="center" vertical="center"/>
    </xf>
    <xf numFmtId="3" fontId="173" fillId="0" borderId="102" xfId="0" applyNumberFormat="1" applyFont="1" applyFill="1" applyBorder="1" applyAlignment="1" applyProtection="1">
      <alignment horizontal="center" vertical="center"/>
    </xf>
    <xf numFmtId="0" fontId="68" fillId="0" borderId="0" xfId="7" applyFont="1" applyAlignment="1">
      <alignment horizontal="center"/>
    </xf>
    <xf numFmtId="0" fontId="78" fillId="0" borderId="0" xfId="0" applyFont="1" applyFill="1" applyBorder="1" applyAlignment="1">
      <alignment horizontal="center" vertical="top"/>
    </xf>
    <xf numFmtId="0" fontId="148" fillId="0" borderId="0" xfId="7" applyFont="1" applyAlignment="1">
      <alignment horizontal="center"/>
    </xf>
    <xf numFmtId="0" fontId="84" fillId="23" borderId="1" xfId="7" applyFont="1" applyFill="1" applyBorder="1" applyAlignment="1" applyProtection="1">
      <alignment horizontal="center" vertical="center" wrapText="1"/>
    </xf>
    <xf numFmtId="0" fontId="193" fillId="0" borderId="107" xfId="0" applyFont="1" applyBorder="1" applyAlignment="1" applyProtection="1">
      <alignment horizontal="center" vertical="center"/>
    </xf>
    <xf numFmtId="165" fontId="194" fillId="0" borderId="107" xfId="0" applyNumberFormat="1" applyFont="1" applyBorder="1" applyAlignment="1" applyProtection="1">
      <alignment horizontal="center" vertical="center"/>
    </xf>
    <xf numFmtId="165" fontId="191" fillId="0" borderId="107" xfId="0" applyNumberFormat="1" applyFont="1" applyBorder="1" applyAlignment="1" applyProtection="1">
      <alignment horizontal="center" vertical="center"/>
    </xf>
    <xf numFmtId="0" fontId="193" fillId="0" borderId="107" xfId="0" applyFont="1" applyFill="1" applyBorder="1" applyAlignment="1" applyProtection="1">
      <alignment horizontal="center" vertical="center"/>
    </xf>
    <xf numFmtId="165" fontId="193" fillId="0" borderId="107" xfId="0" applyNumberFormat="1" applyFont="1" applyBorder="1" applyAlignment="1" applyProtection="1">
      <alignment horizontal="center" vertical="center"/>
    </xf>
    <xf numFmtId="0" fontId="195" fillId="0" borderId="45" xfId="0" applyFont="1" applyBorder="1" applyProtection="1"/>
    <xf numFmtId="0" fontId="186" fillId="0" borderId="46" xfId="0" applyFont="1" applyBorder="1" applyAlignment="1" applyProtection="1">
      <alignment vertical="center"/>
    </xf>
    <xf numFmtId="0" fontId="195" fillId="0" borderId="0" xfId="0" applyFont="1" applyProtection="1"/>
    <xf numFmtId="0" fontId="184" fillId="0" borderId="0" xfId="0" applyFont="1" applyBorder="1" applyAlignment="1" applyProtection="1">
      <alignment horizontal="center" vertical="center"/>
    </xf>
    <xf numFmtId="0" fontId="184" fillId="0" borderId="90" xfId="0" applyFont="1" applyBorder="1" applyAlignment="1" applyProtection="1">
      <alignment horizontal="center" vertical="center"/>
    </xf>
    <xf numFmtId="0" fontId="184" fillId="0" borderId="95" xfId="0" applyFont="1" applyBorder="1" applyAlignment="1" applyProtection="1">
      <alignment horizontal="center" vertical="top"/>
    </xf>
    <xf numFmtId="165" fontId="191" fillId="0" borderId="107" xfId="0" applyNumberFormat="1" applyFont="1" applyFill="1" applyBorder="1" applyAlignment="1" applyProtection="1">
      <alignment horizontal="center" vertical="center"/>
    </xf>
    <xf numFmtId="165" fontId="193" fillId="0" borderId="107" xfId="0" applyNumberFormat="1" applyFont="1" applyFill="1" applyBorder="1" applyAlignment="1" applyProtection="1">
      <alignment horizontal="center" vertical="center"/>
    </xf>
    <xf numFmtId="0" fontId="191" fillId="0" borderId="46" xfId="0" applyFont="1" applyFill="1" applyBorder="1" applyAlignment="1" applyProtection="1">
      <alignment vertical="center"/>
    </xf>
    <xf numFmtId="9" fontId="192" fillId="0" borderId="91" xfId="2" applyFont="1" applyBorder="1" applyAlignment="1" applyProtection="1">
      <alignment horizontal="center" vertical="center"/>
    </xf>
    <xf numFmtId="9" fontId="192" fillId="0" borderId="93" xfId="2" applyFont="1" applyBorder="1" applyAlignment="1" applyProtection="1">
      <alignment horizontal="center" vertical="center"/>
    </xf>
    <xf numFmtId="9" fontId="192" fillId="0" borderId="96" xfId="2" applyFont="1" applyBorder="1" applyAlignment="1" applyProtection="1">
      <alignment horizontal="center" vertical="center"/>
    </xf>
    <xf numFmtId="0" fontId="192" fillId="0" borderId="91" xfId="0" applyFont="1" applyBorder="1" applyAlignment="1" applyProtection="1">
      <alignment horizontal="center" vertical="center"/>
    </xf>
    <xf numFmtId="0" fontId="192" fillId="0" borderId="92" xfId="0" applyFont="1" applyBorder="1" applyAlignment="1" applyProtection="1">
      <alignment horizontal="left" vertical="center"/>
    </xf>
    <xf numFmtId="0" fontId="192" fillId="0" borderId="88" xfId="0" applyFont="1" applyBorder="1" applyAlignment="1" applyProtection="1">
      <alignment horizontal="left" vertical="center"/>
    </xf>
    <xf numFmtId="0" fontId="192" fillId="0" borderId="94" xfId="0" applyFont="1" applyBorder="1" applyAlignment="1" applyProtection="1">
      <alignment horizontal="left" vertical="top"/>
    </xf>
    <xf numFmtId="0" fontId="191" fillId="0" borderId="44" xfId="0" applyFont="1" applyBorder="1" applyAlignment="1" applyProtection="1">
      <alignment vertical="center"/>
    </xf>
    <xf numFmtId="3" fontId="191" fillId="0" borderId="45" xfId="0" applyNumberFormat="1" applyFont="1" applyBorder="1" applyAlignment="1" applyProtection="1">
      <alignment horizontal="center" vertical="center"/>
    </xf>
    <xf numFmtId="0" fontId="194" fillId="0" borderId="101" xfId="0" applyFont="1" applyFill="1" applyBorder="1" applyAlignment="1" applyProtection="1">
      <alignment horizontal="center" vertical="center"/>
    </xf>
    <xf numFmtId="3" fontId="194" fillId="0" borderId="101" xfId="0" applyNumberFormat="1" applyFont="1" applyBorder="1" applyAlignment="1" applyProtection="1">
      <alignment horizontal="center" vertical="center"/>
    </xf>
    <xf numFmtId="3" fontId="191" fillId="0" borderId="0" xfId="0" applyNumberFormat="1" applyFont="1" applyBorder="1" applyAlignment="1" applyProtection="1">
      <alignment horizontal="center" vertical="center"/>
    </xf>
    <xf numFmtId="3" fontId="191" fillId="0" borderId="0" xfId="0" applyNumberFormat="1" applyFont="1" applyFill="1" applyBorder="1" applyAlignment="1" applyProtection="1">
      <alignment horizontal="center" vertical="center"/>
    </xf>
    <xf numFmtId="3" fontId="191" fillId="0" borderId="101" xfId="0" applyNumberFormat="1" applyFont="1" applyBorder="1" applyAlignment="1" applyProtection="1">
      <alignment horizontal="center" vertical="center"/>
    </xf>
    <xf numFmtId="3" fontId="191" fillId="0" borderId="0" xfId="1" applyNumberFormat="1" applyFont="1" applyBorder="1" applyAlignment="1" applyProtection="1">
      <alignment horizontal="center" vertical="center"/>
    </xf>
    <xf numFmtId="37" fontId="191" fillId="0" borderId="45" xfId="1" applyNumberFormat="1" applyFont="1" applyBorder="1" applyAlignment="1" applyProtection="1">
      <alignment horizontal="center" vertical="center"/>
    </xf>
    <xf numFmtId="37" fontId="191" fillId="0" borderId="0" xfId="1" applyNumberFormat="1" applyFont="1" applyBorder="1" applyAlignment="1" applyProtection="1">
      <alignment horizontal="center" vertical="center"/>
    </xf>
    <xf numFmtId="3" fontId="194" fillId="0" borderId="43" xfId="1" applyNumberFormat="1" applyFont="1" applyFill="1" applyBorder="1" applyAlignment="1" applyProtection="1">
      <alignment horizontal="center" vertical="center"/>
    </xf>
    <xf numFmtId="0" fontId="194" fillId="0" borderId="109" xfId="0" applyFont="1" applyFill="1" applyBorder="1" applyAlignment="1" applyProtection="1">
      <alignment horizontal="left" vertical="center"/>
    </xf>
    <xf numFmtId="0" fontId="194" fillId="0" borderId="0" xfId="0" applyFont="1" applyFill="1" applyBorder="1" applyAlignment="1" applyProtection="1">
      <alignment horizontal="left" vertical="center"/>
    </xf>
    <xf numFmtId="0" fontId="191" fillId="0" borderId="109" xfId="0" applyFont="1" applyFill="1" applyBorder="1" applyAlignment="1" applyProtection="1">
      <alignment vertical="center"/>
    </xf>
    <xf numFmtId="0" fontId="191" fillId="0" borderId="0" xfId="0" applyFont="1" applyFill="1" applyBorder="1" applyAlignment="1" applyProtection="1">
      <alignment vertical="center"/>
    </xf>
    <xf numFmtId="0" fontId="191" fillId="0" borderId="0" xfId="0" applyFont="1" applyFill="1" applyBorder="1" applyAlignment="1" applyProtection="1">
      <alignment horizontal="left" vertical="center"/>
    </xf>
    <xf numFmtId="0" fontId="194" fillId="0" borderId="109" xfId="0" applyFont="1" applyFill="1" applyBorder="1" applyAlignment="1" applyProtection="1">
      <alignment vertical="center"/>
    </xf>
    <xf numFmtId="0" fontId="194" fillId="0" borderId="27" xfId="0" applyFont="1" applyFill="1" applyBorder="1" applyAlignment="1" applyProtection="1">
      <alignment horizontal="center" vertical="center"/>
    </xf>
    <xf numFmtId="3" fontId="194" fillId="0" borderId="27" xfId="0" applyNumberFormat="1" applyFont="1" applyFill="1" applyBorder="1" applyAlignment="1" applyProtection="1">
      <alignment horizontal="center" vertical="center"/>
    </xf>
    <xf numFmtId="3" fontId="191" fillId="0" borderId="27" xfId="0" applyNumberFormat="1" applyFont="1" applyFill="1" applyBorder="1" applyAlignment="1" applyProtection="1">
      <alignment horizontal="center" vertical="center"/>
    </xf>
    <xf numFmtId="3" fontId="191" fillId="0" borderId="0" xfId="0" quotePrefix="1" applyNumberFormat="1" applyFont="1" applyFill="1" applyBorder="1" applyAlignment="1" applyProtection="1">
      <alignment horizontal="center" vertical="center"/>
    </xf>
    <xf numFmtId="3" fontId="191" fillId="0" borderId="0" xfId="1" applyNumberFormat="1" applyFont="1" applyFill="1" applyBorder="1" applyAlignment="1" applyProtection="1">
      <alignment horizontal="center" vertical="center"/>
    </xf>
    <xf numFmtId="37" fontId="191" fillId="0" borderId="45" xfId="1" applyNumberFormat="1" applyFont="1" applyFill="1" applyBorder="1" applyAlignment="1" applyProtection="1">
      <alignment horizontal="center" vertical="center"/>
    </xf>
    <xf numFmtId="37" fontId="191" fillId="0" borderId="0" xfId="1" applyNumberFormat="1" applyFont="1" applyFill="1" applyBorder="1" applyAlignment="1" applyProtection="1">
      <alignment horizontal="center" vertical="center"/>
    </xf>
    <xf numFmtId="37" fontId="64" fillId="23" borderId="0" xfId="0" applyNumberFormat="1" applyFont="1" applyFill="1" applyAlignment="1">
      <alignment horizontal="center"/>
    </xf>
    <xf numFmtId="38" fontId="64" fillId="23" borderId="0" xfId="0" applyNumberFormat="1" applyFont="1" applyFill="1" applyAlignment="1">
      <alignment horizontal="center"/>
    </xf>
    <xf numFmtId="0" fontId="28" fillId="0" borderId="0" xfId="0" applyFont="1" applyAlignment="1" applyProtection="1">
      <alignment horizontal="left" vertical="center"/>
    </xf>
    <xf numFmtId="0" fontId="172" fillId="0" borderId="0" xfId="3" applyFont="1" applyAlignment="1"/>
    <xf numFmtId="3" fontId="78" fillId="0" borderId="0" xfId="4" applyNumberFormat="1" applyFont="1" applyFill="1" applyBorder="1" applyAlignment="1">
      <alignment vertical="center"/>
    </xf>
    <xf numFmtId="0" fontId="112" fillId="8" borderId="0" xfId="0" applyFont="1" applyFill="1" applyBorder="1" applyAlignment="1" applyProtection="1">
      <alignment vertical="center"/>
    </xf>
    <xf numFmtId="0" fontId="112" fillId="8" borderId="57" xfId="0" applyFont="1" applyFill="1" applyBorder="1" applyAlignment="1" applyProtection="1">
      <alignment vertical="center"/>
    </xf>
    <xf numFmtId="0" fontId="145" fillId="6" borderId="83" xfId="0" applyFont="1" applyFill="1" applyBorder="1" applyAlignment="1" applyProtection="1">
      <alignment vertical="center"/>
    </xf>
    <xf numFmtId="3" fontId="24" fillId="0" borderId="110" xfId="0" applyNumberFormat="1" applyFont="1" applyBorder="1" applyAlignment="1" applyProtection="1">
      <alignment horizontal="center" vertical="center"/>
    </xf>
    <xf numFmtId="0" fontId="107" fillId="0" borderId="0" xfId="7" applyFont="1" applyAlignment="1">
      <alignment horizontal="center"/>
    </xf>
    <xf numFmtId="3" fontId="84" fillId="0" borderId="0" xfId="4" applyNumberFormat="1" applyFont="1" applyFill="1" applyBorder="1" applyAlignment="1">
      <alignment horizontal="center"/>
    </xf>
    <xf numFmtId="37" fontId="163" fillId="0" borderId="0" xfId="7" applyNumberFormat="1" applyFont="1" applyAlignment="1">
      <alignment horizontal="left"/>
    </xf>
    <xf numFmtId="0" fontId="28" fillId="0" borderId="0" xfId="0" applyFont="1" applyAlignment="1" applyProtection="1">
      <alignment horizontal="left" vertical="center"/>
    </xf>
    <xf numFmtId="0" fontId="198" fillId="7" borderId="87" xfId="0" applyFont="1" applyFill="1" applyBorder="1" applyAlignment="1" applyProtection="1">
      <alignment horizontal="center" vertical="center"/>
      <protection locked="0"/>
    </xf>
    <xf numFmtId="3" fontId="198" fillId="7" borderId="87" xfId="0" applyNumberFormat="1" applyFont="1" applyFill="1" applyBorder="1" applyAlignment="1" applyProtection="1">
      <alignment horizontal="center" vertical="center"/>
      <protection locked="0"/>
    </xf>
    <xf numFmtId="168" fontId="198" fillId="0" borderId="87" xfId="0" applyNumberFormat="1" applyFont="1" applyBorder="1" applyAlignment="1" applyProtection="1">
      <alignment horizontal="center" vertical="center"/>
    </xf>
    <xf numFmtId="3" fontId="18" fillId="9" borderId="32" xfId="1" applyNumberFormat="1" applyFont="1" applyFill="1" applyBorder="1" applyAlignment="1" applyProtection="1">
      <alignment horizontal="center"/>
      <protection locked="0"/>
    </xf>
    <xf numFmtId="3" fontId="18" fillId="0" borderId="0" xfId="0" applyNumberFormat="1" applyFont="1" applyBorder="1" applyAlignment="1" applyProtection="1">
      <alignment horizontal="center" vertical="top"/>
    </xf>
    <xf numFmtId="0" fontId="149" fillId="0" borderId="1" xfId="0" applyFont="1" applyBorder="1" applyAlignment="1" applyProtection="1">
      <alignment horizontal="center" vertical="center"/>
      <protection locked="0"/>
    </xf>
    <xf numFmtId="0" fontId="28" fillId="0" borderId="1" xfId="0" applyFont="1" applyFill="1" applyBorder="1" applyAlignment="1" applyProtection="1">
      <alignment horizontal="right" vertical="center"/>
      <protection locked="0"/>
    </xf>
    <xf numFmtId="165" fontId="68" fillId="0" borderId="1" xfId="2" applyNumberFormat="1" applyFont="1" applyBorder="1" applyAlignment="1" applyProtection="1">
      <alignment horizontal="left" vertical="center"/>
    </xf>
    <xf numFmtId="0" fontId="187" fillId="0" borderId="0" xfId="0" applyFont="1" applyBorder="1" applyAlignment="1" applyProtection="1">
      <alignment horizontal="right"/>
    </xf>
    <xf numFmtId="0" fontId="86" fillId="19" borderId="0" xfId="0" applyFont="1" applyFill="1" applyBorder="1" applyAlignment="1" applyProtection="1">
      <alignment vertical="center"/>
    </xf>
    <xf numFmtId="0" fontId="14" fillId="19" borderId="0" xfId="0" applyFont="1" applyFill="1" applyBorder="1" applyAlignment="1">
      <alignment horizontal="left"/>
    </xf>
    <xf numFmtId="0" fontId="94" fillId="0" borderId="6" xfId="0" applyFont="1" applyFill="1" applyBorder="1" applyAlignment="1" applyProtection="1">
      <alignment vertical="center"/>
    </xf>
    <xf numFmtId="165" fontId="107" fillId="0" borderId="17" xfId="9" applyNumberFormat="1" applyFont="1" applyBorder="1" applyAlignment="1" applyProtection="1">
      <alignment vertical="center"/>
    </xf>
    <xf numFmtId="0" fontId="72" fillId="0" borderId="0" xfId="0" applyFont="1" applyAlignment="1" applyProtection="1">
      <alignment horizontal="center"/>
    </xf>
    <xf numFmtId="164" fontId="97" fillId="0" borderId="1" xfId="1" applyNumberFormat="1" applyFont="1" applyFill="1" applyBorder="1" applyAlignment="1" applyProtection="1">
      <alignment horizontal="center" vertical="center" wrapText="1"/>
    </xf>
    <xf numFmtId="0" fontId="58" fillId="0" borderId="1" xfId="0" applyFont="1" applyFill="1" applyBorder="1" applyAlignment="1" applyProtection="1">
      <alignment horizontal="center" vertical="center" wrapText="1"/>
    </xf>
    <xf numFmtId="0" fontId="97" fillId="0" borderId="1" xfId="0" applyFont="1" applyFill="1" applyBorder="1" applyAlignment="1" applyProtection="1">
      <alignment horizontal="center" vertical="center"/>
    </xf>
    <xf numFmtId="0" fontId="68" fillId="23" borderId="67" xfId="7" applyFont="1" applyFill="1" applyBorder="1" applyAlignment="1" applyProtection="1">
      <alignment horizontal="center" vertical="center" wrapText="1"/>
    </xf>
    <xf numFmtId="165" fontId="60" fillId="0" borderId="2" xfId="2" applyNumberFormat="1" applyFont="1" applyFill="1" applyBorder="1" applyAlignment="1" applyProtection="1">
      <alignment horizontal="center" vertical="top"/>
    </xf>
    <xf numFmtId="0" fontId="60" fillId="0" borderId="4" xfId="0" applyFont="1" applyFill="1" applyBorder="1" applyAlignment="1" applyProtection="1">
      <alignment vertical="top"/>
    </xf>
    <xf numFmtId="0" fontId="97" fillId="0" borderId="3" xfId="0" applyFont="1" applyBorder="1" applyAlignment="1" applyProtection="1">
      <alignment horizontal="center" vertical="top"/>
    </xf>
    <xf numFmtId="167" fontId="97" fillId="0" borderId="4" xfId="0" applyNumberFormat="1" applyFont="1" applyBorder="1" applyAlignment="1" applyProtection="1">
      <alignment horizontal="center" vertical="top"/>
    </xf>
    <xf numFmtId="0" fontId="68" fillId="2" borderId="5" xfId="0" applyFont="1" applyFill="1" applyBorder="1" applyAlignment="1" applyProtection="1">
      <alignment horizontal="center" wrapText="1"/>
    </xf>
    <xf numFmtId="0" fontId="68" fillId="2" borderId="0" xfId="0" applyFont="1" applyFill="1" applyBorder="1" applyAlignment="1" applyProtection="1">
      <alignment horizontal="center" wrapText="1"/>
    </xf>
    <xf numFmtId="9" fontId="68" fillId="2" borderId="6" xfId="0" applyNumberFormat="1" applyFont="1" applyFill="1" applyBorder="1" applyAlignment="1" applyProtection="1">
      <alignment horizontal="center" wrapText="1"/>
    </xf>
    <xf numFmtId="0" fontId="66" fillId="0" borderId="0" xfId="0" applyFont="1" applyProtection="1"/>
    <xf numFmtId="0" fontId="68" fillId="2" borderId="5" xfId="0" applyFont="1" applyFill="1" applyBorder="1" applyAlignment="1" applyProtection="1">
      <alignment horizontal="right" wrapText="1"/>
    </xf>
    <xf numFmtId="0" fontId="68" fillId="2" borderId="0" xfId="0" applyFont="1" applyFill="1" applyBorder="1" applyAlignment="1" applyProtection="1">
      <alignment horizontal="right" wrapText="1"/>
    </xf>
    <xf numFmtId="0" fontId="68" fillId="7" borderId="0" xfId="0" applyFont="1" applyFill="1" applyBorder="1" applyAlignment="1" applyProtection="1">
      <alignment horizontal="right" wrapText="1"/>
    </xf>
    <xf numFmtId="9" fontId="68" fillId="7" borderId="0" xfId="0" applyNumberFormat="1" applyFont="1" applyFill="1" applyBorder="1" applyAlignment="1" applyProtection="1">
      <alignment horizontal="right" wrapText="1"/>
    </xf>
    <xf numFmtId="9" fontId="68" fillId="7" borderId="6" xfId="0" applyNumberFormat="1" applyFont="1" applyFill="1" applyBorder="1" applyAlignment="1" applyProtection="1">
      <alignment horizontal="center" wrapText="1"/>
    </xf>
    <xf numFmtId="0" fontId="67" fillId="0" borderId="2" xfId="7" applyFont="1" applyBorder="1" applyAlignment="1" applyProtection="1">
      <alignment horizontal="center" vertical="top"/>
    </xf>
    <xf numFmtId="0" fontId="68" fillId="0" borderId="3" xfId="7" applyFont="1" applyBorder="1" applyAlignment="1" applyProtection="1">
      <alignment horizontal="center" vertical="top"/>
    </xf>
    <xf numFmtId="9" fontId="175" fillId="0" borderId="3" xfId="7" applyNumberFormat="1" applyFont="1" applyBorder="1" applyAlignment="1" applyProtection="1">
      <alignment horizontal="center"/>
    </xf>
    <xf numFmtId="9" fontId="69" fillId="0" borderId="3" xfId="7" applyNumberFormat="1" applyFont="1" applyBorder="1" applyAlignment="1" applyProtection="1">
      <alignment horizontal="center"/>
    </xf>
    <xf numFmtId="3" fontId="68" fillId="0" borderId="3" xfId="7" applyNumberFormat="1" applyFont="1" applyBorder="1" applyAlignment="1" applyProtection="1">
      <alignment horizontal="center"/>
    </xf>
    <xf numFmtId="37" fontId="69" fillId="0" borderId="3" xfId="7" applyNumberFormat="1" applyFont="1" applyBorder="1" applyAlignment="1" applyProtection="1">
      <alignment horizontal="center"/>
    </xf>
    <xf numFmtId="165" fontId="64" fillId="0" borderId="4" xfId="2" applyNumberFormat="1" applyFont="1" applyBorder="1" applyAlignment="1" applyProtection="1">
      <alignment horizontal="center" vertical="top"/>
    </xf>
    <xf numFmtId="165" fontId="64" fillId="0" borderId="19" xfId="2" applyNumberFormat="1" applyFont="1" applyBorder="1" applyAlignment="1" applyProtection="1">
      <alignment horizontal="center" vertical="top"/>
    </xf>
    <xf numFmtId="0" fontId="55" fillId="0" borderId="19" xfId="0" applyFont="1" applyBorder="1" applyProtection="1"/>
    <xf numFmtId="0" fontId="97" fillId="0" borderId="0" xfId="0" applyFont="1" applyBorder="1" applyAlignment="1" applyProtection="1">
      <alignment horizontal="center"/>
    </xf>
    <xf numFmtId="167" fontId="97" fillId="0" borderId="0" xfId="0" applyNumberFormat="1" applyFont="1" applyBorder="1" applyAlignment="1" applyProtection="1">
      <alignment horizontal="center"/>
    </xf>
    <xf numFmtId="3" fontId="68" fillId="2" borderId="5" xfId="0" applyNumberFormat="1" applyFont="1" applyFill="1" applyBorder="1" applyAlignment="1" applyProtection="1">
      <alignment horizontal="center" wrapText="1"/>
    </xf>
    <xf numFmtId="3" fontId="68" fillId="2" borderId="0" xfId="0" applyNumberFormat="1" applyFont="1" applyFill="1" applyBorder="1" applyAlignment="1" applyProtection="1">
      <alignment horizontal="center" wrapText="1"/>
    </xf>
    <xf numFmtId="3" fontId="68" fillId="2" borderId="5" xfId="0" applyNumberFormat="1" applyFont="1" applyFill="1" applyBorder="1" applyAlignment="1" applyProtection="1">
      <alignment horizontal="right" wrapText="1"/>
    </xf>
    <xf numFmtId="3" fontId="68" fillId="2" borderId="0" xfId="0" applyNumberFormat="1" applyFont="1" applyFill="1" applyBorder="1" applyAlignment="1" applyProtection="1">
      <alignment horizontal="right" wrapText="1"/>
    </xf>
    <xf numFmtId="3" fontId="68" fillId="7" borderId="0" xfId="0" applyNumberFormat="1" applyFont="1" applyFill="1" applyBorder="1" applyAlignment="1" applyProtection="1">
      <alignment horizontal="right" wrapText="1"/>
    </xf>
    <xf numFmtId="0" fontId="68" fillId="0" borderId="5" xfId="0" applyFont="1" applyBorder="1" applyAlignment="1" applyProtection="1">
      <alignment horizontal="center"/>
    </xf>
    <xf numFmtId="0" fontId="68" fillId="0" borderId="0" xfId="0" applyFont="1" applyBorder="1" applyAlignment="1" applyProtection="1">
      <alignment horizontal="center"/>
    </xf>
    <xf numFmtId="3" fontId="68" fillId="0" borderId="0" xfId="0" applyNumberFormat="1" applyFont="1" applyFill="1" applyBorder="1" applyAlignment="1" applyProtection="1">
      <alignment horizontal="center"/>
    </xf>
    <xf numFmtId="37" fontId="68" fillId="0" borderId="0" xfId="7" applyNumberFormat="1" applyFont="1" applyBorder="1" applyAlignment="1" applyProtection="1">
      <alignment horizontal="center"/>
    </xf>
    <xf numFmtId="37" fontId="68" fillId="0" borderId="6" xfId="7" applyNumberFormat="1" applyFont="1" applyBorder="1" applyAlignment="1" applyProtection="1">
      <alignment horizontal="center"/>
    </xf>
    <xf numFmtId="37" fontId="68" fillId="0" borderId="20" xfId="7" applyNumberFormat="1" applyFont="1" applyBorder="1" applyAlignment="1" applyProtection="1">
      <alignment horizontal="center"/>
    </xf>
    <xf numFmtId="9" fontId="60" fillId="0" borderId="6" xfId="2" applyFont="1" applyFill="1" applyBorder="1" applyAlignment="1" applyProtection="1">
      <alignment horizontal="center"/>
    </xf>
    <xf numFmtId="37" fontId="68" fillId="0" borderId="6" xfId="0" applyNumberFormat="1" applyFont="1" applyBorder="1" applyAlignment="1" applyProtection="1">
      <alignment horizontal="center"/>
    </xf>
    <xf numFmtId="37" fontId="68" fillId="0" borderId="20" xfId="0" applyNumberFormat="1" applyFont="1" applyBorder="1" applyAlignment="1" applyProtection="1">
      <alignment horizontal="center"/>
    </xf>
    <xf numFmtId="0" fontId="98" fillId="0" borderId="0" xfId="0" applyFont="1" applyBorder="1" applyAlignment="1" applyProtection="1">
      <alignment horizontal="center"/>
    </xf>
    <xf numFmtId="167" fontId="98" fillId="0" borderId="0" xfId="0" applyNumberFormat="1" applyFont="1" applyBorder="1" applyAlignment="1" applyProtection="1">
      <alignment horizontal="center"/>
    </xf>
    <xf numFmtId="3" fontId="68" fillId="2" borderId="7" xfId="0" applyNumberFormat="1" applyFont="1" applyFill="1" applyBorder="1" applyAlignment="1" applyProtection="1">
      <alignment horizontal="right" wrapText="1"/>
    </xf>
    <xf numFmtId="164" fontId="68" fillId="2" borderId="8" xfId="1" applyNumberFormat="1" applyFont="1" applyFill="1" applyBorder="1" applyAlignment="1" applyProtection="1">
      <alignment horizontal="right" wrapText="1"/>
    </xf>
    <xf numFmtId="9" fontId="68" fillId="2" borderId="9" xfId="0" applyNumberFormat="1" applyFont="1" applyFill="1" applyBorder="1" applyAlignment="1" applyProtection="1">
      <alignment horizontal="center" wrapText="1"/>
    </xf>
    <xf numFmtId="0" fontId="69" fillId="0" borderId="0" xfId="0" applyFont="1" applyProtection="1"/>
    <xf numFmtId="3" fontId="68" fillId="2" borderId="8" xfId="0" applyNumberFormat="1" applyFont="1" applyFill="1" applyBorder="1" applyAlignment="1" applyProtection="1">
      <alignment horizontal="right" wrapText="1"/>
    </xf>
    <xf numFmtId="3" fontId="68" fillId="7" borderId="8" xfId="0" applyNumberFormat="1" applyFont="1" applyFill="1" applyBorder="1" applyAlignment="1" applyProtection="1">
      <alignment horizontal="right" wrapText="1"/>
    </xf>
    <xf numFmtId="9" fontId="68" fillId="7" borderId="8" xfId="0" applyNumberFormat="1" applyFont="1" applyFill="1" applyBorder="1" applyAlignment="1" applyProtection="1">
      <alignment horizontal="right" wrapText="1"/>
    </xf>
    <xf numFmtId="9" fontId="68" fillId="7" borderId="9" xfId="0" applyNumberFormat="1" applyFont="1" applyFill="1" applyBorder="1" applyAlignment="1" applyProtection="1">
      <alignment horizontal="center" wrapText="1"/>
    </xf>
    <xf numFmtId="3" fontId="65" fillId="0" borderId="0" xfId="1" applyNumberFormat="1" applyFont="1" applyProtection="1"/>
    <xf numFmtId="0" fontId="30" fillId="0" borderId="0" xfId="0" applyFont="1" applyAlignment="1" applyProtection="1">
      <alignment vertical="center"/>
    </xf>
    <xf numFmtId="3" fontId="65" fillId="0" borderId="0" xfId="1" applyNumberFormat="1" applyFont="1" applyAlignment="1" applyProtection="1">
      <alignment horizontal="center"/>
    </xf>
    <xf numFmtId="3" fontId="38" fillId="0" borderId="0" xfId="1" applyNumberFormat="1" applyFont="1" applyAlignment="1" applyProtection="1">
      <alignment horizontal="center"/>
    </xf>
    <xf numFmtId="3" fontId="76" fillId="0" borderId="0" xfId="1" applyNumberFormat="1" applyFont="1" applyAlignment="1" applyProtection="1">
      <alignment horizontal="center"/>
    </xf>
    <xf numFmtId="3" fontId="65" fillId="11" borderId="0" xfId="1" applyNumberFormat="1" applyFont="1" applyFill="1" applyProtection="1"/>
    <xf numFmtId="0" fontId="97" fillId="0" borderId="8" xfId="0" applyFont="1" applyBorder="1" applyAlignment="1" applyProtection="1">
      <alignment horizontal="center"/>
    </xf>
    <xf numFmtId="167" fontId="97" fillId="0" borderId="8" xfId="0" applyNumberFormat="1" applyFont="1" applyBorder="1" applyAlignment="1" applyProtection="1">
      <alignment horizontal="center"/>
    </xf>
    <xf numFmtId="0" fontId="97" fillId="0" borderId="3" xfId="0" applyFont="1" applyFill="1" applyBorder="1" applyAlignment="1" applyProtection="1">
      <alignment horizontal="center"/>
    </xf>
    <xf numFmtId="167" fontId="97" fillId="0" borderId="3" xfId="0" applyNumberFormat="1" applyFont="1" applyFill="1" applyBorder="1" applyAlignment="1" applyProtection="1">
      <alignment horizontal="center"/>
    </xf>
    <xf numFmtId="0" fontId="97" fillId="0" borderId="0" xfId="0" applyFont="1" applyFill="1" applyBorder="1" applyAlignment="1" applyProtection="1">
      <alignment horizontal="center"/>
    </xf>
    <xf numFmtId="167" fontId="97" fillId="0" borderId="0" xfId="0" applyNumberFormat="1" applyFont="1" applyFill="1" applyBorder="1" applyAlignment="1" applyProtection="1">
      <alignment horizontal="center"/>
    </xf>
    <xf numFmtId="3" fontId="77" fillId="0" borderId="0" xfId="1" applyNumberFormat="1" applyFont="1" applyAlignment="1" applyProtection="1">
      <alignment horizontal="center"/>
    </xf>
    <xf numFmtId="3" fontId="60" fillId="0" borderId="7" xfId="1" applyNumberFormat="1" applyFont="1" applyFill="1" applyBorder="1" applyAlignment="1" applyProtection="1">
      <alignment horizontal="center"/>
    </xf>
    <xf numFmtId="9" fontId="60" fillId="0" borderId="9" xfId="2" applyFont="1" applyFill="1" applyBorder="1" applyAlignment="1" applyProtection="1">
      <alignment horizontal="center"/>
    </xf>
    <xf numFmtId="0" fontId="68" fillId="0" borderId="7" xfId="0" applyFont="1" applyBorder="1" applyAlignment="1" applyProtection="1">
      <alignment horizontal="center"/>
    </xf>
    <xf numFmtId="0" fontId="68" fillId="0" borderId="8" xfId="0" applyFont="1" applyBorder="1" applyAlignment="1" applyProtection="1">
      <alignment horizontal="center"/>
    </xf>
    <xf numFmtId="3" fontId="68" fillId="0" borderId="8" xfId="0" applyNumberFormat="1" applyFont="1" applyFill="1" applyBorder="1" applyAlignment="1" applyProtection="1">
      <alignment horizontal="center"/>
    </xf>
    <xf numFmtId="37" fontId="68" fillId="0" borderId="8" xfId="7" applyNumberFormat="1" applyFont="1" applyBorder="1" applyAlignment="1" applyProtection="1">
      <alignment horizontal="center"/>
    </xf>
    <xf numFmtId="37" fontId="68" fillId="0" borderId="9" xfId="0" applyNumberFormat="1" applyFont="1" applyBorder="1" applyAlignment="1" applyProtection="1">
      <alignment horizontal="center"/>
    </xf>
    <xf numFmtId="37" fontId="68" fillId="0" borderId="21" xfId="0" applyNumberFormat="1" applyFont="1" applyBorder="1" applyAlignment="1" applyProtection="1">
      <alignment horizontal="center"/>
    </xf>
    <xf numFmtId="0" fontId="72" fillId="0" borderId="0" xfId="0" applyFont="1" applyProtection="1"/>
    <xf numFmtId="0" fontId="28" fillId="0" borderId="0" xfId="0" applyFont="1" applyAlignment="1">
      <alignment vertical="top" wrapText="1"/>
    </xf>
    <xf numFmtId="38" fontId="8" fillId="27" borderId="0" xfId="0" applyNumberFormat="1" applyFont="1" applyFill="1" applyBorder="1" applyAlignment="1" applyProtection="1">
      <alignment horizontal="center"/>
    </xf>
    <xf numFmtId="170" fontId="8" fillId="27" borderId="0" xfId="0" quotePrefix="1" applyNumberFormat="1" applyFont="1" applyFill="1" applyBorder="1" applyAlignment="1" applyProtection="1">
      <alignment horizontal="center"/>
    </xf>
    <xf numFmtId="170" fontId="80" fillId="28" borderId="0" xfId="0" quotePrefix="1" applyNumberFormat="1" applyFont="1" applyFill="1" applyBorder="1" applyAlignment="1" applyProtection="1">
      <alignment horizontal="center"/>
    </xf>
    <xf numFmtId="38" fontId="80" fillId="28" borderId="0" xfId="0" applyNumberFormat="1" applyFont="1" applyFill="1" applyBorder="1" applyAlignment="1" applyProtection="1">
      <alignment horizontal="center"/>
    </xf>
    <xf numFmtId="0" fontId="1" fillId="0" borderId="0" xfId="0" applyFont="1" applyProtection="1"/>
    <xf numFmtId="0" fontId="28" fillId="0" borderId="0" xfId="0" applyFont="1" applyProtection="1"/>
    <xf numFmtId="0" fontId="74" fillId="0" borderId="0" xfId="0" applyFont="1" applyProtection="1"/>
    <xf numFmtId="37" fontId="84" fillId="0" borderId="0" xfId="4" applyNumberFormat="1" applyFont="1" applyFill="1" applyBorder="1" applyAlignment="1">
      <alignment horizontal="center"/>
    </xf>
    <xf numFmtId="37" fontId="84" fillId="0" borderId="0" xfId="4" quotePrefix="1" applyNumberFormat="1" applyFont="1" applyFill="1" applyBorder="1" applyAlignment="1">
      <alignment horizontal="center"/>
    </xf>
    <xf numFmtId="38" fontId="84" fillId="0" borderId="0" xfId="4" applyNumberFormat="1" applyFont="1" applyFill="1" applyBorder="1" applyAlignment="1">
      <alignment horizontal="center" vertical="center"/>
    </xf>
    <xf numFmtId="38" fontId="84" fillId="0" borderId="0" xfId="4" applyNumberFormat="1" applyFont="1" applyFill="1" applyBorder="1" applyAlignment="1">
      <alignment horizontal="center"/>
    </xf>
    <xf numFmtId="3" fontId="24" fillId="9" borderId="27" xfId="0" quotePrefix="1" applyNumberFormat="1" applyFont="1" applyFill="1" applyBorder="1" applyAlignment="1">
      <alignment horizontal="center"/>
    </xf>
    <xf numFmtId="164" fontId="32" fillId="0" borderId="21" xfId="1" applyNumberFormat="1" applyFont="1" applyBorder="1" applyAlignment="1">
      <alignment horizontal="center"/>
    </xf>
    <xf numFmtId="1" fontId="200" fillId="0" borderId="19" xfId="1" applyNumberFormat="1" applyFont="1" applyBorder="1" applyAlignment="1" applyProtection="1">
      <alignment horizontal="center"/>
      <protection locked="0"/>
    </xf>
    <xf numFmtId="164" fontId="76" fillId="9" borderId="0" xfId="1" applyNumberFormat="1" applyFont="1" applyFill="1"/>
    <xf numFmtId="3" fontId="18" fillId="9" borderId="27" xfId="1" applyNumberFormat="1" applyFont="1" applyFill="1" applyBorder="1" applyAlignment="1" applyProtection="1">
      <alignment horizontal="center"/>
      <protection locked="0"/>
    </xf>
    <xf numFmtId="3" fontId="22" fillId="0" borderId="0" xfId="1" applyNumberFormat="1" applyFont="1" applyFill="1" applyBorder="1" applyAlignment="1" applyProtection="1">
      <alignment horizontal="center"/>
      <protection locked="0"/>
    </xf>
    <xf numFmtId="164" fontId="49" fillId="0" borderId="27" xfId="1" applyNumberFormat="1" applyFont="1" applyBorder="1" applyAlignment="1">
      <alignment horizontal="right"/>
    </xf>
    <xf numFmtId="166" fontId="49" fillId="0" borderId="27" xfId="1" applyNumberFormat="1" applyFont="1" applyBorder="1" applyAlignment="1">
      <alignment horizontal="right"/>
    </xf>
    <xf numFmtId="173" fontId="20" fillId="7" borderId="76" xfId="0" applyNumberFormat="1" applyFont="1" applyFill="1" applyBorder="1" applyAlignment="1" applyProtection="1">
      <alignment horizontal="center" vertical="center"/>
      <protection locked="0"/>
    </xf>
    <xf numFmtId="0" fontId="158" fillId="24" borderId="67" xfId="0" applyFont="1" applyFill="1" applyBorder="1" applyAlignment="1" applyProtection="1">
      <alignment horizontal="center"/>
    </xf>
    <xf numFmtId="37" fontId="20" fillId="24" borderId="115" xfId="0" applyNumberFormat="1" applyFont="1" applyFill="1" applyBorder="1" applyAlignment="1" applyProtection="1">
      <alignment horizontal="center" vertical="center"/>
    </xf>
    <xf numFmtId="0" fontId="20" fillId="0" borderId="0" xfId="0" applyFont="1" applyBorder="1" applyAlignment="1" applyProtection="1">
      <alignment horizontal="center" vertical="center" wrapText="1"/>
    </xf>
    <xf numFmtId="3" fontId="20" fillId="0" borderId="12" xfId="1" applyNumberFormat="1" applyFont="1" applyBorder="1" applyAlignment="1" applyProtection="1">
      <alignment horizontal="center" vertical="center"/>
    </xf>
    <xf numFmtId="37" fontId="20" fillId="0" borderId="12" xfId="1" applyNumberFormat="1" applyFont="1" applyBorder="1" applyAlignment="1" applyProtection="1">
      <alignment horizontal="center" vertical="center"/>
    </xf>
    <xf numFmtId="0" fontId="95" fillId="0" borderId="0" xfId="0" applyFont="1" applyBorder="1" applyAlignment="1">
      <alignment horizontal="center"/>
    </xf>
    <xf numFmtId="1" fontId="95" fillId="0" borderId="0" xfId="0" applyNumberFormat="1" applyFont="1" applyBorder="1" applyAlignment="1">
      <alignment horizontal="center"/>
    </xf>
    <xf numFmtId="3" fontId="95" fillId="0" borderId="0" xfId="0" applyNumberFormat="1" applyFont="1" applyBorder="1" applyAlignment="1" applyProtection="1">
      <alignment horizontal="center"/>
      <protection locked="0"/>
    </xf>
    <xf numFmtId="0" fontId="95" fillId="0" borderId="0" xfId="0" applyFont="1" applyBorder="1" applyAlignment="1" applyProtection="1">
      <alignment horizontal="left" vertical="center"/>
      <protection locked="0"/>
    </xf>
    <xf numFmtId="0" fontId="168" fillId="0" borderId="0" xfId="0" applyFont="1" applyAlignment="1">
      <alignment horizontal="center"/>
    </xf>
    <xf numFmtId="0" fontId="166" fillId="0" borderId="0" xfId="0" applyFont="1" applyAlignment="1">
      <alignment horizontal="center"/>
    </xf>
    <xf numFmtId="37" fontId="63" fillId="23" borderId="0" xfId="0" applyNumberFormat="1" applyFont="1" applyFill="1" applyBorder="1" applyAlignment="1">
      <alignment horizontal="center"/>
    </xf>
    <xf numFmtId="37" fontId="64" fillId="0" borderId="0" xfId="1" applyNumberFormat="1" applyFont="1" applyFill="1" applyAlignment="1">
      <alignment horizontal="center"/>
    </xf>
    <xf numFmtId="38" fontId="64" fillId="0" borderId="0" xfId="0" applyNumberFormat="1" applyFont="1" applyFill="1" applyAlignment="1">
      <alignment horizontal="center"/>
    </xf>
    <xf numFmtId="38" fontId="63" fillId="0" borderId="0" xfId="1" applyNumberFormat="1" applyFont="1" applyFill="1" applyAlignment="1">
      <alignment horizontal="center"/>
    </xf>
    <xf numFmtId="37" fontId="63" fillId="0" borderId="0" xfId="1" applyNumberFormat="1" applyFont="1" applyFill="1" applyAlignment="1">
      <alignment horizontal="center"/>
    </xf>
    <xf numFmtId="170" fontId="80" fillId="27" borderId="0" xfId="0" quotePrefix="1" applyNumberFormat="1" applyFont="1" applyFill="1" applyBorder="1" applyAlignment="1" applyProtection="1">
      <alignment horizontal="center"/>
    </xf>
    <xf numFmtId="38" fontId="80" fillId="27" borderId="0" xfId="0" applyNumberFormat="1" applyFont="1" applyFill="1" applyBorder="1" applyAlignment="1" applyProtection="1">
      <alignment horizontal="center"/>
    </xf>
    <xf numFmtId="0" fontId="28" fillId="0" borderId="0" xfId="0" applyFont="1" applyAlignment="1" applyProtection="1">
      <alignment horizontal="left" vertical="center"/>
    </xf>
    <xf numFmtId="0" fontId="78" fillId="0" borderId="0" xfId="0" applyFont="1" applyFill="1" applyBorder="1" applyAlignment="1" applyProtection="1">
      <alignment horizontal="center" vertical="center"/>
      <protection locked="0"/>
    </xf>
    <xf numFmtId="37" fontId="203" fillId="24" borderId="68" xfId="0" applyNumberFormat="1" applyFont="1" applyFill="1" applyBorder="1" applyAlignment="1" applyProtection="1">
      <alignment horizontal="center" vertical="center"/>
    </xf>
    <xf numFmtId="0" fontId="20" fillId="0" borderId="0" xfId="0" applyFont="1" applyAlignment="1" applyProtection="1">
      <alignment horizontal="left" vertical="center"/>
    </xf>
    <xf numFmtId="37" fontId="66" fillId="0" borderId="20" xfId="0" applyNumberFormat="1" applyFont="1" applyBorder="1" applyProtection="1"/>
    <xf numFmtId="37" fontId="66" fillId="0" borderId="21" xfId="0" applyNumberFormat="1" applyFont="1" applyBorder="1" applyProtection="1"/>
    <xf numFmtId="0" fontId="204" fillId="0" borderId="0" xfId="0" applyFont="1" applyFill="1" applyBorder="1" applyAlignment="1" applyProtection="1">
      <alignment horizontal="left" vertical="center"/>
    </xf>
    <xf numFmtId="0" fontId="101" fillId="0" borderId="0" xfId="0" applyFont="1" applyAlignment="1" applyProtection="1">
      <alignment horizontal="left"/>
    </xf>
    <xf numFmtId="0" fontId="100" fillId="0" borderId="27" xfId="0" applyFont="1" applyBorder="1" applyAlignment="1" applyProtection="1">
      <alignment horizontal="center" vertical="center"/>
    </xf>
    <xf numFmtId="9" fontId="173" fillId="0" borderId="0" xfId="2" applyFont="1" applyAlignment="1" applyProtection="1">
      <alignment horizontal="center"/>
    </xf>
    <xf numFmtId="37" fontId="111" fillId="0" borderId="47" xfId="0" applyNumberFormat="1" applyFont="1" applyBorder="1" applyAlignment="1" applyProtection="1">
      <alignment horizontal="center" vertical="center"/>
    </xf>
    <xf numFmtId="3" fontId="84" fillId="17" borderId="21" xfId="0" applyNumberFormat="1" applyFont="1" applyFill="1" applyBorder="1" applyAlignment="1" applyProtection="1">
      <alignment horizontal="center" vertical="center"/>
    </xf>
    <xf numFmtId="0" fontId="13" fillId="0" borderId="1" xfId="0" applyFont="1" applyBorder="1" applyProtection="1"/>
    <xf numFmtId="3" fontId="68" fillId="17" borderId="1" xfId="0" applyNumberFormat="1" applyFont="1" applyFill="1" applyBorder="1" applyAlignment="1" applyProtection="1">
      <alignment horizontal="left" vertical="center"/>
    </xf>
    <xf numFmtId="165" fontId="205" fillId="0" borderId="75" xfId="0" applyNumberFormat="1" applyFont="1" applyBorder="1" applyAlignment="1" applyProtection="1">
      <alignment horizontal="center" vertical="center"/>
    </xf>
    <xf numFmtId="165" fontId="205" fillId="0" borderId="107" xfId="0" applyNumberFormat="1" applyFont="1" applyFill="1" applyBorder="1" applyAlignment="1" applyProtection="1">
      <alignment horizontal="center" vertical="center"/>
    </xf>
    <xf numFmtId="37" fontId="192" fillId="0" borderId="0" xfId="0" applyNumberFormat="1" applyFont="1" applyBorder="1" applyAlignment="1" applyProtection="1">
      <alignment horizontal="center" vertical="center"/>
    </xf>
    <xf numFmtId="37" fontId="192" fillId="0" borderId="92" xfId="0" applyNumberFormat="1" applyFont="1" applyBorder="1" applyAlignment="1" applyProtection="1">
      <alignment horizontal="center" vertical="center"/>
    </xf>
    <xf numFmtId="37" fontId="192" fillId="0" borderId="90" xfId="0" applyNumberFormat="1" applyFont="1" applyBorder="1" applyAlignment="1" applyProtection="1">
      <alignment horizontal="center" vertical="center"/>
    </xf>
    <xf numFmtId="37" fontId="192" fillId="0" borderId="95" xfId="0" applyNumberFormat="1" applyFont="1" applyBorder="1" applyAlignment="1" applyProtection="1">
      <alignment horizontal="center" vertical="top"/>
    </xf>
    <xf numFmtId="37" fontId="192" fillId="0" borderId="88" xfId="0" applyNumberFormat="1" applyFont="1" applyBorder="1" applyAlignment="1" applyProtection="1">
      <alignment horizontal="center" vertical="center"/>
    </xf>
    <xf numFmtId="37" fontId="192" fillId="0" borderId="94" xfId="0" applyNumberFormat="1" applyFont="1" applyBorder="1" applyAlignment="1" applyProtection="1">
      <alignment horizontal="center" vertical="center"/>
    </xf>
    <xf numFmtId="37" fontId="192" fillId="0" borderId="94" xfId="0" applyNumberFormat="1" applyFont="1" applyBorder="1" applyAlignment="1" applyProtection="1">
      <alignment horizontal="center" vertical="top"/>
    </xf>
    <xf numFmtId="0" fontId="78" fillId="0" borderId="0" xfId="0" applyFont="1" applyAlignment="1" applyProtection="1">
      <alignment vertical="top"/>
    </xf>
    <xf numFmtId="0" fontId="206" fillId="0" borderId="0" xfId="0" applyFont="1" applyAlignment="1" applyProtection="1">
      <alignment horizontal="center"/>
    </xf>
    <xf numFmtId="0" fontId="192" fillId="0" borderId="0" xfId="0" applyFont="1" applyAlignment="1" applyProtection="1">
      <alignment horizontal="center"/>
    </xf>
    <xf numFmtId="37" fontId="192" fillId="0" borderId="0" xfId="0" applyNumberFormat="1" applyFont="1" applyAlignment="1" applyProtection="1">
      <alignment horizontal="center"/>
    </xf>
    <xf numFmtId="0" fontId="192" fillId="0" borderId="0" xfId="0" applyFont="1" applyAlignment="1" applyProtection="1">
      <alignment horizontal="left"/>
    </xf>
    <xf numFmtId="0" fontId="191" fillId="0" borderId="0" xfId="0" applyFont="1" applyAlignment="1">
      <alignment vertical="top"/>
    </xf>
    <xf numFmtId="0" fontId="184" fillId="0" borderId="125" xfId="0" applyFont="1" applyBorder="1" applyAlignment="1" applyProtection="1">
      <alignment horizontal="center"/>
    </xf>
    <xf numFmtId="0" fontId="184" fillId="0" borderId="118" xfId="0" applyFont="1" applyBorder="1" applyAlignment="1" applyProtection="1">
      <alignment horizontal="center"/>
    </xf>
    <xf numFmtId="9" fontId="184" fillId="0" borderId="118" xfId="2" applyNumberFormat="1" applyFont="1" applyBorder="1" applyAlignment="1" applyProtection="1">
      <alignment horizontal="center"/>
    </xf>
    <xf numFmtId="0" fontId="192" fillId="0" borderId="0" xfId="0" applyFont="1" applyAlignment="1" applyProtection="1">
      <alignment horizontal="right" vertical="center"/>
    </xf>
    <xf numFmtId="9" fontId="184" fillId="0" borderId="0" xfId="2" applyFont="1" applyAlignment="1" applyProtection="1">
      <alignment horizontal="center" vertical="center"/>
    </xf>
    <xf numFmtId="0" fontId="147" fillId="0" borderId="87" xfId="0" applyFont="1" applyBorder="1" applyAlignment="1" applyProtection="1">
      <alignment horizontal="center" vertical="center"/>
    </xf>
    <xf numFmtId="0" fontId="138" fillId="0" borderId="0" xfId="3" applyFont="1" applyFill="1" applyBorder="1" applyAlignment="1" applyProtection="1">
      <alignment horizontal="left" vertical="top" wrapText="1"/>
    </xf>
    <xf numFmtId="0" fontId="139" fillId="0" borderId="0" xfId="3" applyFont="1" applyFill="1" applyBorder="1" applyAlignment="1" applyProtection="1">
      <alignment horizontal="center" vertical="top" wrapText="1"/>
    </xf>
    <xf numFmtId="0" fontId="128" fillId="0" borderId="0" xfId="3" applyFont="1" applyFill="1" applyAlignment="1" applyProtection="1">
      <alignment horizontal="center" vertical="center"/>
    </xf>
    <xf numFmtId="0" fontId="130" fillId="0" borderId="0" xfId="3" applyFont="1" applyAlignment="1" applyProtection="1">
      <alignment horizontal="left" vertical="center" wrapText="1"/>
    </xf>
    <xf numFmtId="0" fontId="132" fillId="22" borderId="84" xfId="3" applyFont="1" applyFill="1" applyBorder="1" applyAlignment="1" applyProtection="1">
      <alignment horizontal="center" vertical="center" wrapText="1"/>
    </xf>
    <xf numFmtId="0" fontId="130" fillId="22" borderId="85" xfId="3" applyFont="1" applyFill="1" applyBorder="1" applyAlignment="1" applyProtection="1">
      <alignment horizontal="center" vertical="center" wrapText="1"/>
    </xf>
    <xf numFmtId="0" fontId="130" fillId="22" borderId="86" xfId="3" applyFont="1" applyFill="1" applyBorder="1" applyAlignment="1" applyProtection="1">
      <alignment horizontal="center" vertical="center" wrapText="1"/>
    </xf>
    <xf numFmtId="0" fontId="130" fillId="0" borderId="0" xfId="3" applyFont="1" applyAlignment="1" applyProtection="1">
      <alignment horizontal="left" vertical="top" wrapText="1"/>
    </xf>
    <xf numFmtId="173" fontId="0" fillId="13" borderId="16" xfId="0" applyNumberFormat="1" applyFill="1" applyBorder="1" applyAlignment="1" applyProtection="1">
      <alignment horizontal="center"/>
    </xf>
    <xf numFmtId="173" fontId="0" fillId="13" borderId="17" xfId="0" applyNumberFormat="1" applyFill="1" applyBorder="1" applyAlignment="1" applyProtection="1">
      <alignment horizontal="center"/>
    </xf>
    <xf numFmtId="173" fontId="0" fillId="13" borderId="18" xfId="0" applyNumberFormat="1" applyFill="1" applyBorder="1" applyAlignment="1" applyProtection="1">
      <alignment horizontal="center"/>
    </xf>
    <xf numFmtId="0" fontId="192" fillId="0" borderId="119" xfId="0" applyFont="1" applyBorder="1" applyAlignment="1" applyProtection="1">
      <alignment horizontal="center" vertical="center" wrapText="1"/>
    </xf>
    <xf numFmtId="0" fontId="192" fillId="0" borderId="120" xfId="0" applyFont="1" applyBorder="1" applyAlignment="1" applyProtection="1">
      <alignment horizontal="center" vertical="center" wrapText="1"/>
    </xf>
    <xf numFmtId="0" fontId="192" fillId="0" borderId="121" xfId="0" applyFont="1" applyBorder="1" applyAlignment="1" applyProtection="1">
      <alignment horizontal="center" vertical="center" wrapText="1"/>
    </xf>
    <xf numFmtId="0" fontId="192" fillId="0" borderId="122" xfId="0" applyFont="1" applyBorder="1" applyAlignment="1" applyProtection="1">
      <alignment horizontal="center" vertical="center" wrapText="1"/>
    </xf>
    <xf numFmtId="0" fontId="192" fillId="0" borderId="123" xfId="0" applyFont="1" applyBorder="1" applyAlignment="1" applyProtection="1">
      <alignment horizontal="center" vertical="center" wrapText="1"/>
    </xf>
    <xf numFmtId="0" fontId="192" fillId="0" borderId="124" xfId="0" applyFont="1" applyBorder="1" applyAlignment="1" applyProtection="1">
      <alignment horizontal="center" vertical="center" wrapText="1"/>
    </xf>
    <xf numFmtId="0" fontId="78" fillId="0" borderId="0" xfId="0" applyFont="1" applyAlignment="1" applyProtection="1">
      <alignment horizontal="center"/>
    </xf>
    <xf numFmtId="0" fontId="144" fillId="22" borderId="84" xfId="7" applyFont="1" applyFill="1" applyBorder="1" applyAlignment="1">
      <alignment horizontal="center" vertical="center"/>
    </xf>
    <xf numFmtId="0" fontId="144" fillId="22" borderId="85" xfId="7" applyFont="1" applyFill="1" applyBorder="1" applyAlignment="1">
      <alignment horizontal="center" vertical="center"/>
    </xf>
    <xf numFmtId="0" fontId="144" fillId="22" borderId="86" xfId="7" applyFont="1" applyFill="1" applyBorder="1" applyAlignment="1">
      <alignment horizontal="center" vertical="center"/>
    </xf>
    <xf numFmtId="0" fontId="96" fillId="0" borderId="0" xfId="0" applyFont="1" applyAlignment="1" applyProtection="1">
      <alignment horizontal="left" vertical="top"/>
    </xf>
    <xf numFmtId="0" fontId="108" fillId="0" borderId="62" xfId="0" applyFont="1" applyBorder="1" applyAlignment="1" applyProtection="1">
      <alignment horizontal="left"/>
    </xf>
    <xf numFmtId="0" fontId="108" fillId="0" borderId="0" xfId="0" applyFont="1" applyBorder="1" applyAlignment="1" applyProtection="1">
      <alignment horizontal="left"/>
    </xf>
    <xf numFmtId="0" fontId="161" fillId="10" borderId="84" xfId="7" applyFont="1" applyFill="1" applyBorder="1" applyAlignment="1">
      <alignment horizontal="center" vertical="center" wrapText="1"/>
    </xf>
    <xf numFmtId="0" fontId="161" fillId="10" borderId="86" xfId="7" applyFont="1" applyFill="1" applyBorder="1" applyAlignment="1">
      <alignment horizontal="center" vertical="center" wrapText="1"/>
    </xf>
    <xf numFmtId="0" fontId="96" fillId="0" borderId="0" xfId="0" applyFont="1" applyAlignment="1" applyProtection="1">
      <alignment horizontal="left" vertical="center"/>
    </xf>
    <xf numFmtId="0" fontId="126" fillId="19" borderId="0" xfId="0" applyFont="1" applyFill="1" applyBorder="1" applyAlignment="1" applyProtection="1">
      <alignment horizontal="left" vertical="center"/>
    </xf>
    <xf numFmtId="0" fontId="125" fillId="19" borderId="0" xfId="0" applyFont="1" applyFill="1" applyBorder="1" applyAlignment="1" applyProtection="1">
      <alignment horizontal="left" vertical="center"/>
    </xf>
    <xf numFmtId="0" fontId="28" fillId="0" borderId="0" xfId="0" applyFont="1" applyAlignment="1" applyProtection="1">
      <alignment horizontal="left" vertical="center"/>
    </xf>
    <xf numFmtId="0" fontId="184" fillId="0" borderId="118" xfId="0" applyFont="1" applyBorder="1" applyAlignment="1" applyProtection="1">
      <alignment horizontal="center"/>
    </xf>
    <xf numFmtId="1" fontId="184" fillId="0" borderId="0" xfId="2" applyNumberFormat="1" applyFont="1" applyBorder="1" applyAlignment="1" applyProtection="1">
      <alignment horizontal="center" vertical="center"/>
    </xf>
    <xf numFmtId="0" fontId="184" fillId="0" borderId="125" xfId="0" applyFont="1" applyBorder="1" applyAlignment="1" applyProtection="1">
      <alignment horizontal="center"/>
    </xf>
    <xf numFmtId="0" fontId="68" fillId="0" borderId="0" xfId="0" applyFont="1" applyFill="1" applyBorder="1" applyAlignment="1" applyProtection="1">
      <alignment horizontal="left" vertical="top" wrapText="1"/>
    </xf>
    <xf numFmtId="0" fontId="68" fillId="0" borderId="63" xfId="0" applyFont="1" applyFill="1" applyBorder="1" applyAlignment="1" applyProtection="1">
      <alignment horizontal="left" vertical="top" wrapText="1"/>
    </xf>
    <xf numFmtId="0" fontId="68" fillId="0" borderId="65" xfId="0" applyFont="1" applyFill="1" applyBorder="1" applyAlignment="1" applyProtection="1">
      <alignment horizontal="left" vertical="top" wrapText="1"/>
    </xf>
    <xf numFmtId="0" fontId="68" fillId="0" borderId="66" xfId="0" applyFont="1" applyFill="1" applyBorder="1" applyAlignment="1" applyProtection="1">
      <alignment horizontal="left" vertical="top" wrapText="1"/>
    </xf>
    <xf numFmtId="0" fontId="26" fillId="0" borderId="76" xfId="0" applyFont="1" applyFill="1" applyBorder="1" applyAlignment="1" applyProtection="1">
      <alignment horizontal="center" vertical="center"/>
    </xf>
    <xf numFmtId="0" fontId="26" fillId="0" borderId="77" xfId="0" applyFont="1" applyFill="1" applyBorder="1" applyAlignment="1" applyProtection="1">
      <alignment horizontal="center" vertical="center"/>
    </xf>
    <xf numFmtId="0" fontId="26" fillId="0" borderId="78" xfId="0" applyFont="1" applyFill="1" applyBorder="1" applyAlignment="1" applyProtection="1">
      <alignment horizontal="center" vertical="center"/>
    </xf>
    <xf numFmtId="0" fontId="96" fillId="0" borderId="0" xfId="0" applyFont="1" applyFill="1" applyAlignment="1" applyProtection="1">
      <alignment horizontal="left" vertical="center"/>
    </xf>
    <xf numFmtId="0" fontId="96" fillId="0" borderId="75" xfId="0" applyFont="1" applyFill="1" applyBorder="1" applyAlignment="1" applyProtection="1">
      <alignment horizontal="left" vertical="center"/>
    </xf>
    <xf numFmtId="0" fontId="96" fillId="0" borderId="0" xfId="0" applyFont="1" applyAlignment="1" applyProtection="1">
      <alignment horizontal="left"/>
    </xf>
    <xf numFmtId="0" fontId="96" fillId="0" borderId="62" xfId="0" applyFont="1" applyBorder="1" applyAlignment="1" applyProtection="1">
      <alignment horizontal="left"/>
    </xf>
    <xf numFmtId="0" fontId="96" fillId="0" borderId="0" xfId="0" applyFont="1" applyBorder="1" applyAlignment="1" applyProtection="1">
      <alignment horizontal="left"/>
    </xf>
    <xf numFmtId="0" fontId="96" fillId="0" borderId="0" xfId="0" applyFont="1" applyBorder="1" applyAlignment="1" applyProtection="1">
      <alignment horizontal="left" vertical="center"/>
    </xf>
    <xf numFmtId="0" fontId="163" fillId="0" borderId="0" xfId="0" applyFont="1" applyBorder="1" applyAlignment="1" applyProtection="1">
      <alignment horizontal="center" wrapText="1"/>
    </xf>
    <xf numFmtId="0" fontId="101" fillId="0" borderId="17" xfId="0" applyFont="1" applyBorder="1" applyAlignment="1" applyProtection="1">
      <alignment horizontal="center" wrapText="1"/>
    </xf>
    <xf numFmtId="0" fontId="36" fillId="0" borderId="47" xfId="0" applyFont="1" applyBorder="1" applyAlignment="1" applyProtection="1">
      <alignment horizontal="left" vertical="center"/>
    </xf>
    <xf numFmtId="0" fontId="36" fillId="0" borderId="104" xfId="0" applyFont="1" applyBorder="1" applyAlignment="1" applyProtection="1">
      <alignment horizontal="left" vertical="center"/>
    </xf>
    <xf numFmtId="0" fontId="20" fillId="0" borderId="47" xfId="0" applyFont="1" applyBorder="1" applyAlignment="1" applyProtection="1">
      <alignment horizontal="left" vertical="center"/>
    </xf>
    <xf numFmtId="0" fontId="20" fillId="0" borderId="75" xfId="0" applyFont="1" applyBorder="1" applyAlignment="1" applyProtection="1">
      <alignment horizontal="left" vertical="center"/>
    </xf>
    <xf numFmtId="0" fontId="118" fillId="12" borderId="10" xfId="0" applyFont="1" applyFill="1" applyBorder="1" applyAlignment="1" applyProtection="1">
      <alignment horizontal="center" vertical="center"/>
    </xf>
    <xf numFmtId="0" fontId="118" fillId="12" borderId="11" xfId="0" applyFont="1" applyFill="1" applyBorder="1" applyAlignment="1" applyProtection="1">
      <alignment horizontal="center" vertical="center"/>
    </xf>
    <xf numFmtId="0" fontId="118" fillId="12" borderId="12" xfId="0" applyFont="1" applyFill="1" applyBorder="1" applyAlignment="1" applyProtection="1">
      <alignment horizontal="center" vertical="center"/>
    </xf>
    <xf numFmtId="0" fontId="19" fillId="13" borderId="3" xfId="0" applyFont="1" applyFill="1" applyBorder="1" applyAlignment="1" applyProtection="1">
      <alignment horizontal="center"/>
    </xf>
    <xf numFmtId="0" fontId="19" fillId="13" borderId="4" xfId="0" applyFont="1" applyFill="1" applyBorder="1" applyAlignment="1" applyProtection="1">
      <alignment horizontal="center"/>
    </xf>
    <xf numFmtId="0" fontId="14" fillId="13" borderId="11" xfId="0" applyFont="1" applyFill="1" applyBorder="1" applyAlignment="1" applyProtection="1">
      <alignment horizontal="center" vertical="center"/>
    </xf>
    <xf numFmtId="0" fontId="14" fillId="13" borderId="12" xfId="0" applyFont="1" applyFill="1" applyBorder="1" applyAlignment="1" applyProtection="1">
      <alignment horizontal="center" vertical="center"/>
    </xf>
    <xf numFmtId="0" fontId="74" fillId="23" borderId="30" xfId="0" applyFont="1" applyFill="1" applyBorder="1" applyAlignment="1" applyProtection="1">
      <alignment horizontal="center" vertical="center" wrapText="1"/>
    </xf>
    <xf numFmtId="0" fontId="74" fillId="23" borderId="43" xfId="0" applyFont="1" applyFill="1" applyBorder="1" applyAlignment="1" applyProtection="1">
      <alignment horizontal="center" vertical="center" wrapText="1"/>
    </xf>
    <xf numFmtId="0" fontId="74" fillId="23" borderId="31" xfId="0" applyFont="1" applyFill="1" applyBorder="1" applyAlignment="1" applyProtection="1">
      <alignment horizontal="center" vertical="center" wrapText="1"/>
    </xf>
    <xf numFmtId="0" fontId="99" fillId="0" borderId="0" xfId="0" applyFont="1" applyAlignment="1" applyProtection="1">
      <alignment horizontal="left" vertical="center"/>
    </xf>
    <xf numFmtId="0" fontId="68" fillId="0" borderId="47" xfId="0" applyFont="1" applyBorder="1" applyAlignment="1" applyProtection="1">
      <alignment horizontal="left" vertical="center"/>
    </xf>
    <xf numFmtId="0" fontId="68" fillId="0" borderId="0" xfId="0" applyFont="1" applyBorder="1" applyAlignment="1" applyProtection="1">
      <alignment horizontal="left" vertical="center"/>
    </xf>
    <xf numFmtId="0" fontId="196" fillId="0" borderId="116" xfId="0" applyFont="1" applyFill="1" applyBorder="1" applyAlignment="1" applyProtection="1">
      <alignment horizontal="center" vertical="center"/>
    </xf>
    <xf numFmtId="0" fontId="196" fillId="0" borderId="3" xfId="0" applyFont="1" applyFill="1" applyBorder="1" applyAlignment="1" applyProtection="1">
      <alignment horizontal="center" vertical="center"/>
    </xf>
    <xf numFmtId="0" fontId="196" fillId="0" borderId="117" xfId="0" applyFont="1" applyFill="1" applyBorder="1" applyAlignment="1" applyProtection="1">
      <alignment horizontal="center" vertical="center"/>
    </xf>
    <xf numFmtId="0" fontId="30" fillId="0" borderId="0" xfId="0" applyFont="1" applyBorder="1" applyAlignment="1" applyProtection="1">
      <alignment horizontal="center" vertical="center"/>
    </xf>
    <xf numFmtId="0" fontId="20" fillId="0" borderId="0" xfId="0" applyFont="1" applyBorder="1" applyAlignment="1" applyProtection="1">
      <alignment horizontal="center" vertical="center" wrapText="1"/>
    </xf>
    <xf numFmtId="0" fontId="20" fillId="0" borderId="0" xfId="0" applyFont="1" applyAlignment="1" applyProtection="1">
      <alignment horizontal="center" vertical="center" wrapText="1"/>
    </xf>
    <xf numFmtId="0" fontId="17" fillId="19" borderId="29" xfId="0" quotePrefix="1" applyFont="1" applyFill="1" applyBorder="1" applyAlignment="1" applyProtection="1">
      <alignment horizontal="center" vertical="center"/>
    </xf>
    <xf numFmtId="0" fontId="17" fillId="19" borderId="0" xfId="0" quotePrefix="1" applyFont="1" applyFill="1" applyBorder="1" applyAlignment="1" applyProtection="1">
      <alignment horizontal="center" vertical="center"/>
    </xf>
    <xf numFmtId="0" fontId="84" fillId="23" borderId="94" xfId="0" applyFont="1" applyFill="1" applyBorder="1" applyAlignment="1" applyProtection="1">
      <alignment horizontal="center"/>
    </xf>
    <xf numFmtId="0" fontId="84" fillId="23" borderId="96" xfId="0" applyFont="1" applyFill="1" applyBorder="1" applyAlignment="1" applyProtection="1">
      <alignment horizontal="center"/>
    </xf>
    <xf numFmtId="0" fontId="84" fillId="23" borderId="97" xfId="0" applyFont="1" applyFill="1" applyBorder="1" applyAlignment="1" applyProtection="1">
      <alignment horizontal="center"/>
    </xf>
    <xf numFmtId="0" fontId="84" fillId="23" borderId="106" xfId="0" applyFont="1" applyFill="1" applyBorder="1" applyAlignment="1" applyProtection="1">
      <alignment horizontal="center"/>
    </xf>
    <xf numFmtId="0" fontId="84" fillId="23" borderId="98" xfId="0" applyFont="1" applyFill="1" applyBorder="1" applyAlignment="1" applyProtection="1">
      <alignment horizontal="center"/>
    </xf>
    <xf numFmtId="0" fontId="191" fillId="0" borderId="109" xfId="0" applyFont="1" applyBorder="1" applyAlignment="1" applyProtection="1">
      <alignment horizontal="left" vertical="center"/>
    </xf>
    <xf numFmtId="0" fontId="191" fillId="0" borderId="0" xfId="0" applyFont="1" applyBorder="1" applyAlignment="1" applyProtection="1">
      <alignment horizontal="left" vertical="center"/>
    </xf>
    <xf numFmtId="0" fontId="84" fillId="23" borderId="95" xfId="0" applyFont="1" applyFill="1" applyBorder="1" applyAlignment="1" applyProtection="1">
      <alignment horizontal="center"/>
    </xf>
    <xf numFmtId="0" fontId="196" fillId="0" borderId="109" xfId="0" applyFont="1" applyFill="1" applyBorder="1" applyAlignment="1" applyProtection="1">
      <alignment horizontal="center" vertical="center"/>
    </xf>
    <xf numFmtId="0" fontId="196" fillId="0" borderId="0" xfId="0" applyFont="1" applyFill="1" applyBorder="1" applyAlignment="1" applyProtection="1">
      <alignment horizontal="center" vertical="center"/>
    </xf>
    <xf numFmtId="0" fontId="196" fillId="0" borderId="107" xfId="0" applyFont="1" applyFill="1" applyBorder="1" applyAlignment="1" applyProtection="1">
      <alignment horizontal="center" vertical="center"/>
    </xf>
    <xf numFmtId="0" fontId="191" fillId="0" borderId="109" xfId="0" applyFont="1" applyFill="1" applyBorder="1" applyAlignment="1" applyProtection="1">
      <alignment horizontal="left" vertical="center"/>
    </xf>
    <xf numFmtId="0" fontId="191" fillId="0" borderId="0" xfId="0" applyFont="1" applyFill="1" applyBorder="1" applyAlignment="1" applyProtection="1">
      <alignment horizontal="left" vertical="center"/>
    </xf>
    <xf numFmtId="0" fontId="19" fillId="13" borderId="2" xfId="0" applyFont="1" applyFill="1" applyBorder="1" applyAlignment="1" applyProtection="1">
      <alignment horizontal="center"/>
    </xf>
    <xf numFmtId="0" fontId="30" fillId="0" borderId="0" xfId="0" applyNumberFormat="1" applyFont="1" applyAlignment="1" applyProtection="1">
      <alignment horizontal="left" vertical="top" wrapText="1"/>
    </xf>
    <xf numFmtId="0" fontId="20" fillId="0" borderId="0" xfId="0" applyFont="1" applyAlignment="1" applyProtection="1">
      <alignment horizontal="left" vertical="top" wrapText="1"/>
    </xf>
    <xf numFmtId="0" fontId="20" fillId="0" borderId="0" xfId="0" applyFont="1" applyBorder="1" applyAlignment="1" applyProtection="1">
      <alignment horizontal="left" vertical="center"/>
    </xf>
    <xf numFmtId="0" fontId="84" fillId="0" borderId="47" xfId="0" applyFont="1" applyBorder="1" applyAlignment="1" applyProtection="1">
      <alignment horizontal="left" vertical="center"/>
    </xf>
    <xf numFmtId="0" fontId="84" fillId="0" borderId="0" xfId="0" applyFont="1" applyBorder="1" applyAlignment="1" applyProtection="1">
      <alignment horizontal="left" vertical="center"/>
    </xf>
    <xf numFmtId="0" fontId="20" fillId="0" borderId="0" xfId="3" applyFont="1" applyAlignment="1" applyProtection="1">
      <alignment horizontal="left" vertical="top" wrapText="1"/>
    </xf>
    <xf numFmtId="0" fontId="20" fillId="0" borderId="0" xfId="3" quotePrefix="1" applyFont="1" applyAlignment="1" applyProtection="1">
      <alignment horizontal="left" vertical="top" wrapText="1"/>
    </xf>
    <xf numFmtId="0" fontId="14" fillId="13" borderId="10" xfId="0" applyFont="1" applyFill="1" applyBorder="1" applyAlignment="1" applyProtection="1">
      <alignment horizontal="center"/>
    </xf>
    <xf numFmtId="0" fontId="14" fillId="13" borderId="12" xfId="0" applyFont="1" applyFill="1" applyBorder="1" applyAlignment="1" applyProtection="1">
      <alignment horizontal="center"/>
    </xf>
    <xf numFmtId="0" fontId="191" fillId="0" borderId="108" xfId="0" applyFont="1" applyBorder="1" applyAlignment="1" applyProtection="1">
      <alignment horizontal="center" vertical="top" wrapText="1"/>
    </xf>
    <xf numFmtId="0" fontId="191" fillId="0" borderId="0" xfId="0" applyFont="1" applyBorder="1" applyAlignment="1" applyProtection="1">
      <alignment horizontal="center" vertical="top" wrapText="1"/>
    </xf>
    <xf numFmtId="0" fontId="20" fillId="0" borderId="10" xfId="0" applyFont="1" applyBorder="1" applyAlignment="1" applyProtection="1">
      <alignment horizontal="center" vertical="center" wrapText="1"/>
    </xf>
    <xf numFmtId="0" fontId="20" fillId="0" borderId="11" xfId="0" applyFont="1" applyBorder="1" applyAlignment="1" applyProtection="1">
      <alignment horizontal="center" vertical="center" wrapText="1"/>
    </xf>
    <xf numFmtId="0" fontId="20" fillId="0" borderId="12" xfId="0" applyFont="1" applyBorder="1" applyAlignment="1" applyProtection="1">
      <alignment horizontal="center" vertical="center" wrapText="1"/>
    </xf>
    <xf numFmtId="0" fontId="207" fillId="13" borderId="13" xfId="0" applyFont="1" applyFill="1" applyBorder="1" applyAlignment="1" applyProtection="1">
      <alignment horizontal="center"/>
    </xf>
    <xf numFmtId="0" fontId="207" fillId="13" borderId="14" xfId="0" applyFont="1" applyFill="1" applyBorder="1" applyAlignment="1" applyProtection="1">
      <alignment horizontal="center"/>
    </xf>
    <xf numFmtId="0" fontId="207" fillId="13" borderId="15" xfId="0" applyFont="1" applyFill="1" applyBorder="1" applyAlignment="1" applyProtection="1">
      <alignment horizontal="center"/>
    </xf>
    <xf numFmtId="5" fontId="66" fillId="13" borderId="47" xfId="0" applyNumberFormat="1" applyFont="1" applyFill="1" applyBorder="1" applyAlignment="1" applyProtection="1">
      <alignment horizontal="center"/>
    </xf>
    <xf numFmtId="5" fontId="66" fillId="13" borderId="0" xfId="0" applyNumberFormat="1" applyFont="1" applyFill="1" applyBorder="1" applyAlignment="1" applyProtection="1">
      <alignment horizontal="center"/>
    </xf>
    <xf numFmtId="5" fontId="66" fillId="13" borderId="75" xfId="0" applyNumberFormat="1" applyFont="1" applyFill="1" applyBorder="1" applyAlignment="1" applyProtection="1">
      <alignment horizontal="center"/>
    </xf>
    <xf numFmtId="0" fontId="27" fillId="23" borderId="30" xfId="0" applyFont="1" applyFill="1" applyBorder="1" applyAlignment="1" applyProtection="1">
      <alignment horizontal="center" vertical="center"/>
    </xf>
    <xf numFmtId="0" fontId="27" fillId="23" borderId="43" xfId="0" applyFont="1" applyFill="1" applyBorder="1" applyAlignment="1" applyProtection="1">
      <alignment horizontal="center" vertical="center"/>
    </xf>
    <xf numFmtId="0" fontId="27" fillId="23" borderId="31" xfId="0" applyFont="1" applyFill="1" applyBorder="1" applyAlignment="1" applyProtection="1">
      <alignment horizontal="center" vertical="center"/>
    </xf>
    <xf numFmtId="0" fontId="194" fillId="0" borderId="109" xfId="0" applyFont="1" applyBorder="1" applyAlignment="1" applyProtection="1">
      <alignment horizontal="left" vertical="center"/>
    </xf>
    <xf numFmtId="0" fontId="194" fillId="0" borderId="0" xfId="0" applyFont="1" applyBorder="1" applyAlignment="1" applyProtection="1">
      <alignment horizontal="left" vertical="center"/>
    </xf>
    <xf numFmtId="37" fontId="183" fillId="0" borderId="0" xfId="0" applyNumberFormat="1" applyFont="1" applyAlignment="1" applyProtection="1">
      <alignment horizontal="center" vertical="center"/>
    </xf>
    <xf numFmtId="0" fontId="148" fillId="0" borderId="0" xfId="0" applyFont="1" applyFill="1" applyBorder="1" applyAlignment="1">
      <alignment horizontal="center" vertical="top"/>
    </xf>
    <xf numFmtId="0" fontId="107" fillId="0" borderId="0" xfId="7" applyFont="1" applyAlignment="1">
      <alignment horizontal="center"/>
    </xf>
    <xf numFmtId="0" fontId="202" fillId="0" borderId="0" xfId="7" applyFont="1" applyAlignment="1">
      <alignment horizontal="center" vertical="top"/>
    </xf>
    <xf numFmtId="3" fontId="84" fillId="0" borderId="0" xfId="4" applyNumberFormat="1" applyFont="1" applyFill="1" applyBorder="1" applyAlignment="1">
      <alignment horizontal="center"/>
    </xf>
    <xf numFmtId="0" fontId="197" fillId="0" borderId="0" xfId="0" applyFont="1" applyFill="1" applyBorder="1" applyAlignment="1">
      <alignment horizontal="center" vertical="top"/>
    </xf>
    <xf numFmtId="0" fontId="78" fillId="0" borderId="0" xfId="7" applyFont="1" applyAlignment="1">
      <alignment horizontal="center"/>
    </xf>
    <xf numFmtId="0" fontId="148" fillId="0" borderId="0" xfId="7" applyFont="1" applyAlignment="1">
      <alignment horizontal="center"/>
    </xf>
    <xf numFmtId="3" fontId="69" fillId="0" borderId="0" xfId="4" applyNumberFormat="1" applyFont="1" applyFill="1" applyBorder="1" applyAlignment="1">
      <alignment horizontal="center"/>
    </xf>
    <xf numFmtId="37" fontId="84" fillId="0" borderId="0" xfId="4" quotePrefix="1" applyNumberFormat="1" applyFont="1" applyFill="1" applyBorder="1" applyAlignment="1">
      <alignment horizontal="center"/>
    </xf>
    <xf numFmtId="0" fontId="197" fillId="0" borderId="0" xfId="0" quotePrefix="1" applyFont="1" applyFill="1" applyBorder="1" applyAlignment="1">
      <alignment horizontal="center" vertical="top"/>
    </xf>
    <xf numFmtId="0" fontId="78" fillId="0" borderId="0" xfId="0" applyFont="1" applyFill="1" applyBorder="1" applyAlignment="1">
      <alignment horizontal="center" vertical="top"/>
    </xf>
    <xf numFmtId="37" fontId="163" fillId="0" borderId="0" xfId="7" applyNumberFormat="1" applyFont="1" applyAlignment="1">
      <alignment horizontal="center"/>
    </xf>
    <xf numFmtId="0" fontId="165" fillId="0" borderId="0" xfId="0" applyFont="1" applyAlignment="1">
      <alignment horizontal="center"/>
    </xf>
    <xf numFmtId="0" fontId="166" fillId="0" borderId="0" xfId="0" applyFont="1" applyAlignment="1">
      <alignment horizontal="center"/>
    </xf>
    <xf numFmtId="0" fontId="84" fillId="0" borderId="0" xfId="7" applyFont="1" applyAlignment="1">
      <alignment horizontal="center"/>
    </xf>
    <xf numFmtId="0" fontId="168" fillId="0" borderId="0" xfId="0" applyFont="1" applyAlignment="1">
      <alignment horizontal="center"/>
    </xf>
    <xf numFmtId="0" fontId="180" fillId="10" borderId="84" xfId="7" applyFont="1" applyFill="1" applyBorder="1" applyAlignment="1">
      <alignment horizontal="center" vertical="center" wrapText="1"/>
    </xf>
    <xf numFmtId="0" fontId="180" fillId="10" borderId="86" xfId="7" applyFont="1" applyFill="1" applyBorder="1" applyAlignment="1">
      <alignment horizontal="center" vertical="center" wrapText="1"/>
    </xf>
    <xf numFmtId="0" fontId="68" fillId="0" borderId="0" xfId="3" applyFont="1" applyAlignment="1">
      <alignment horizontal="left" vertical="top" wrapText="1"/>
    </xf>
    <xf numFmtId="0" fontId="96" fillId="0" borderId="0" xfId="3" applyFont="1" applyAlignment="1">
      <alignment horizontal="left" vertical="top" wrapText="1"/>
    </xf>
    <xf numFmtId="0" fontId="164" fillId="0" borderId="0" xfId="7" applyFont="1" applyBorder="1" applyAlignment="1">
      <alignment horizontal="left" vertical="top" wrapText="1"/>
    </xf>
    <xf numFmtId="0" fontId="54" fillId="0" borderId="0" xfId="7" applyFont="1" applyBorder="1" applyAlignment="1">
      <alignment horizontal="left" vertical="top" wrapText="1"/>
    </xf>
    <xf numFmtId="0" fontId="83" fillId="0" borderId="0" xfId="3" quotePrefix="1" applyNumberFormat="1" applyFont="1" applyFill="1" applyBorder="1" applyAlignment="1">
      <alignment horizontal="left" vertical="top" wrapText="1"/>
    </xf>
    <xf numFmtId="0" fontId="73" fillId="0" borderId="0" xfId="3" applyFont="1" applyAlignment="1">
      <alignment horizontal="left" vertical="top" wrapText="1"/>
    </xf>
    <xf numFmtId="0" fontId="113" fillId="0" borderId="0" xfId="3" applyFont="1" applyAlignment="1">
      <alignment horizontal="left" vertical="top" wrapText="1"/>
    </xf>
    <xf numFmtId="0" fontId="28" fillId="0" borderId="0" xfId="0" applyFont="1" applyAlignment="1" applyProtection="1">
      <alignment horizontal="left" vertical="top" wrapText="1"/>
    </xf>
    <xf numFmtId="0" fontId="156" fillId="6" borderId="0" xfId="0" applyFont="1" applyFill="1" applyBorder="1" applyAlignment="1" applyProtection="1">
      <alignment horizontal="center" vertical="center"/>
    </xf>
    <xf numFmtId="0" fontId="156" fillId="6" borderId="3" xfId="0" applyFont="1" applyFill="1" applyBorder="1" applyAlignment="1" applyProtection="1">
      <alignment horizontal="center" vertical="center"/>
    </xf>
    <xf numFmtId="0" fontId="149" fillId="0" borderId="0" xfId="0" applyFont="1" applyFill="1" applyBorder="1" applyAlignment="1" applyProtection="1">
      <alignment vertical="center"/>
    </xf>
    <xf numFmtId="0" fontId="149" fillId="0" borderId="0" xfId="0" applyFont="1" applyAlignment="1" applyProtection="1">
      <alignment horizontal="left" vertical="center"/>
    </xf>
    <xf numFmtId="0" fontId="149" fillId="0" borderId="0" xfId="0" applyFont="1" applyFill="1" applyAlignment="1" applyProtection="1">
      <alignment horizontal="left" vertical="center"/>
    </xf>
    <xf numFmtId="0" fontId="144" fillId="22" borderId="113" xfId="7" applyFont="1" applyFill="1" applyBorder="1" applyAlignment="1">
      <alignment horizontal="center" vertical="center"/>
    </xf>
    <xf numFmtId="0" fontId="144" fillId="22" borderId="0" xfId="7" applyFont="1" applyFill="1" applyBorder="1" applyAlignment="1">
      <alignment horizontal="center" vertical="center"/>
    </xf>
    <xf numFmtId="0" fontId="26" fillId="0" borderId="0" xfId="0" applyFont="1" applyBorder="1" applyAlignment="1" applyProtection="1">
      <alignment horizontal="center" vertical="center"/>
    </xf>
    <xf numFmtId="0" fontId="149" fillId="0" borderId="93" xfId="0" applyFont="1" applyBorder="1" applyAlignment="1" applyProtection="1">
      <alignment horizontal="left" vertical="center" wrapText="1"/>
    </xf>
    <xf numFmtId="0" fontId="42" fillId="0" borderId="0" xfId="0" applyFont="1" applyAlignment="1" applyProtection="1">
      <alignment horizontal="left" vertical="center" wrapText="1"/>
    </xf>
    <xf numFmtId="0" fontId="149" fillId="0" borderId="0" xfId="0" applyFont="1" applyBorder="1" applyAlignment="1" applyProtection="1">
      <alignment horizontal="left" vertical="center" wrapText="1"/>
    </xf>
    <xf numFmtId="0" fontId="149" fillId="0" borderId="0" xfId="0" applyFont="1" applyAlignment="1" applyProtection="1">
      <alignment horizontal="left" vertical="center" wrapText="1"/>
    </xf>
    <xf numFmtId="0" fontId="113" fillId="0" borderId="0" xfId="0" applyFont="1" applyFill="1" applyBorder="1" applyAlignment="1" applyProtection="1">
      <alignment horizontal="center" vertical="top" wrapText="1"/>
    </xf>
    <xf numFmtId="0" fontId="1" fillId="0" borderId="0" xfId="0" applyFont="1" applyAlignment="1" applyProtection="1">
      <alignment horizontal="center" vertical="top"/>
    </xf>
    <xf numFmtId="0" fontId="13" fillId="0" borderId="0" xfId="0" applyFont="1" applyAlignment="1" applyProtection="1">
      <alignment horizontal="center" vertical="top"/>
    </xf>
    <xf numFmtId="0" fontId="25" fillId="4" borderId="40" xfId="0" applyFont="1" applyFill="1" applyBorder="1" applyAlignment="1" applyProtection="1">
      <alignment horizontal="center" vertical="center"/>
    </xf>
    <xf numFmtId="0" fontId="25" fillId="4" borderId="41" xfId="0" applyFont="1" applyFill="1" applyBorder="1" applyAlignment="1" applyProtection="1">
      <alignment horizontal="center" vertical="center"/>
    </xf>
    <xf numFmtId="0" fontId="95" fillId="0" borderId="30" xfId="0" applyFont="1" applyBorder="1" applyAlignment="1" applyProtection="1">
      <alignment horizontal="left" vertical="center"/>
      <protection locked="0"/>
    </xf>
    <xf numFmtId="0" fontId="95" fillId="0" borderId="43" xfId="0" applyFont="1" applyBorder="1" applyAlignment="1" applyProtection="1">
      <alignment horizontal="left" vertical="center"/>
      <protection locked="0"/>
    </xf>
    <xf numFmtId="0" fontId="95" fillId="0" borderId="31" xfId="0" applyFont="1" applyBorder="1" applyAlignment="1" applyProtection="1">
      <alignment horizontal="left" vertical="center"/>
      <protection locked="0"/>
    </xf>
    <xf numFmtId="0" fontId="80" fillId="24" borderId="67" xfId="0" applyFont="1" applyFill="1" applyBorder="1" applyAlignment="1">
      <alignment horizontal="center" vertical="center"/>
    </xf>
    <xf numFmtId="0" fontId="80" fillId="24" borderId="68" xfId="0" applyFont="1" applyFill="1" applyBorder="1" applyAlignment="1">
      <alignment horizontal="center" vertical="center"/>
    </xf>
    <xf numFmtId="0" fontId="5" fillId="0" borderId="0" xfId="0" applyFont="1" applyFill="1" applyBorder="1" applyAlignment="1">
      <alignment horizontal="center" vertical="center" wrapText="1"/>
    </xf>
    <xf numFmtId="0" fontId="180" fillId="10" borderId="113" xfId="7" applyFont="1" applyFill="1" applyBorder="1" applyAlignment="1">
      <alignment horizontal="center" vertical="center"/>
    </xf>
    <xf numFmtId="0" fontId="180" fillId="10" borderId="75" xfId="7" applyFont="1" applyFill="1" applyBorder="1" applyAlignment="1">
      <alignment horizontal="center" vertical="center"/>
    </xf>
    <xf numFmtId="0" fontId="144" fillId="6" borderId="47" xfId="0" applyFont="1" applyFill="1" applyBorder="1" applyAlignment="1">
      <alignment horizontal="center" vertical="center"/>
    </xf>
    <xf numFmtId="0" fontId="144" fillId="6" borderId="114" xfId="0" applyFont="1" applyFill="1" applyBorder="1" applyAlignment="1">
      <alignment horizontal="center" vertical="center"/>
    </xf>
    <xf numFmtId="0" fontId="144" fillId="6" borderId="0" xfId="0" applyFont="1" applyFill="1" applyBorder="1" applyAlignment="1">
      <alignment horizontal="center" vertical="center"/>
    </xf>
    <xf numFmtId="0" fontId="80" fillId="24" borderId="67" xfId="0" applyFont="1" applyFill="1" applyBorder="1" applyAlignment="1">
      <alignment horizontal="center" vertical="center" wrapText="1"/>
    </xf>
    <xf numFmtId="0" fontId="80" fillId="24" borderId="68" xfId="0" applyFont="1" applyFill="1" applyBorder="1" applyAlignment="1">
      <alignment horizontal="center" vertical="center" wrapText="1"/>
    </xf>
    <xf numFmtId="0" fontId="105" fillId="0" borderId="0" xfId="0" applyFont="1" applyBorder="1" applyAlignment="1">
      <alignment horizontal="center" vertical="center"/>
    </xf>
    <xf numFmtId="0" fontId="95" fillId="0" borderId="0" xfId="0" applyFont="1" applyBorder="1" applyAlignment="1">
      <alignment horizontal="center" vertical="center"/>
    </xf>
    <xf numFmtId="0" fontId="95" fillId="0" borderId="44" xfId="0" applyFont="1" applyBorder="1" applyAlignment="1" applyProtection="1">
      <alignment horizontal="left" vertical="center"/>
      <protection locked="0"/>
    </xf>
    <xf numFmtId="0" fontId="95" fillId="0" borderId="45" xfId="0" applyFont="1" applyBorder="1" applyAlignment="1" applyProtection="1">
      <alignment horizontal="left" vertical="center"/>
      <protection locked="0"/>
    </xf>
    <xf numFmtId="0" fontId="95" fillId="0" borderId="46" xfId="0" applyFont="1" applyBorder="1" applyAlignment="1" applyProtection="1">
      <alignment horizontal="left" vertical="center"/>
      <protection locked="0"/>
    </xf>
    <xf numFmtId="0" fontId="91" fillId="0" borderId="0" xfId="0" applyFont="1" applyAlignment="1">
      <alignment horizontal="left"/>
    </xf>
    <xf numFmtId="165" fontId="91" fillId="0" borderId="0" xfId="2" applyNumberFormat="1" applyFont="1" applyBorder="1" applyAlignment="1">
      <alignment horizontal="center"/>
    </xf>
    <xf numFmtId="165" fontId="90" fillId="0" borderId="17" xfId="2" applyNumberFormat="1" applyFont="1" applyBorder="1" applyAlignment="1">
      <alignment horizontal="center" vertical="center"/>
    </xf>
    <xf numFmtId="0" fontId="188" fillId="6" borderId="84" xfId="0" applyFont="1" applyFill="1" applyBorder="1" applyAlignment="1">
      <alignment horizontal="center" vertical="center"/>
    </xf>
    <xf numFmtId="0" fontId="188" fillId="6" borderId="85" xfId="0" applyFont="1" applyFill="1" applyBorder="1" applyAlignment="1">
      <alignment horizontal="center" vertical="center"/>
    </xf>
    <xf numFmtId="0" fontId="188" fillId="6" borderId="86" xfId="0" applyFont="1" applyFill="1" applyBorder="1" applyAlignment="1">
      <alignment horizontal="center" vertical="center"/>
    </xf>
    <xf numFmtId="0" fontId="145" fillId="6" borderId="84" xfId="0" applyFont="1" applyFill="1" applyBorder="1" applyAlignment="1">
      <alignment horizontal="center" vertical="center"/>
    </xf>
    <xf numFmtId="0" fontId="145" fillId="6" borderId="85" xfId="0" applyFont="1" applyFill="1" applyBorder="1" applyAlignment="1">
      <alignment horizontal="center" vertical="center"/>
    </xf>
    <xf numFmtId="0" fontId="145" fillId="6" borderId="86" xfId="0" applyFont="1" applyFill="1" applyBorder="1" applyAlignment="1">
      <alignment horizontal="center" vertical="center"/>
    </xf>
    <xf numFmtId="0" fontId="180" fillId="10" borderId="84" xfId="7" applyFont="1" applyFill="1" applyBorder="1" applyAlignment="1">
      <alignment horizontal="center" vertical="center"/>
    </xf>
    <xf numFmtId="0" fontId="180" fillId="10" borderId="86" xfId="7" applyFont="1" applyFill="1" applyBorder="1" applyAlignment="1">
      <alignment horizontal="center" vertical="center"/>
    </xf>
    <xf numFmtId="0" fontId="28" fillId="0" borderId="0" xfId="0" applyFont="1" applyAlignment="1">
      <alignment horizontal="left" vertical="top" wrapText="1"/>
    </xf>
    <xf numFmtId="0" fontId="14" fillId="19" borderId="0" xfId="0" applyFont="1" applyFill="1" applyBorder="1" applyAlignment="1">
      <alignment horizontal="left" vertical="center"/>
    </xf>
    <xf numFmtId="0" fontId="14" fillId="19" borderId="0" xfId="0" applyFont="1" applyFill="1" applyBorder="1" applyAlignment="1">
      <alignment horizontal="left" vertical="center" wrapText="1"/>
    </xf>
    <xf numFmtId="0" fontId="145" fillId="6" borderId="84" xfId="0" applyFont="1" applyFill="1" applyBorder="1" applyAlignment="1">
      <alignment horizontal="center"/>
    </xf>
    <xf numFmtId="0" fontId="145" fillId="6" borderId="86" xfId="0" applyFont="1" applyFill="1" applyBorder="1" applyAlignment="1">
      <alignment horizontal="center"/>
    </xf>
    <xf numFmtId="0" fontId="37" fillId="19" borderId="13" xfId="0" applyFont="1" applyFill="1" applyBorder="1" applyAlignment="1">
      <alignment horizontal="center" vertical="center" wrapText="1"/>
    </xf>
    <xf numFmtId="0" fontId="37" fillId="19" borderId="14" xfId="0" applyFont="1" applyFill="1" applyBorder="1" applyAlignment="1">
      <alignment horizontal="center" vertical="center" wrapText="1"/>
    </xf>
    <xf numFmtId="0" fontId="37" fillId="19" borderId="15" xfId="0" applyFont="1" applyFill="1" applyBorder="1" applyAlignment="1">
      <alignment horizontal="center" vertical="center" wrapText="1"/>
    </xf>
    <xf numFmtId="0" fontId="32" fillId="19" borderId="16" xfId="0" applyFont="1" applyFill="1" applyBorder="1" applyAlignment="1">
      <alignment horizontal="center" vertical="top" wrapText="1"/>
    </xf>
    <xf numFmtId="0" fontId="32" fillId="19" borderId="17" xfId="0" applyFont="1" applyFill="1" applyBorder="1" applyAlignment="1">
      <alignment horizontal="center" vertical="top" wrapText="1"/>
    </xf>
    <xf numFmtId="0" fontId="32" fillId="19" borderId="18" xfId="0" applyFont="1" applyFill="1" applyBorder="1" applyAlignment="1">
      <alignment horizontal="center" vertical="top" wrapText="1"/>
    </xf>
    <xf numFmtId="0" fontId="46" fillId="0" borderId="0" xfId="0" applyFont="1" applyAlignment="1">
      <alignment horizontal="center" vertical="top"/>
    </xf>
    <xf numFmtId="0" fontId="20" fillId="0" borderId="0" xfId="3" applyFont="1" applyAlignment="1">
      <alignment horizontal="center" vertical="top"/>
    </xf>
    <xf numFmtId="0" fontId="37" fillId="19" borderId="79" xfId="0" applyFont="1" applyFill="1" applyBorder="1" applyAlignment="1">
      <alignment horizontal="center" vertical="center"/>
    </xf>
    <xf numFmtId="0" fontId="37" fillId="19" borderId="80" xfId="0" applyFont="1" applyFill="1" applyBorder="1" applyAlignment="1">
      <alignment horizontal="center" vertical="center"/>
    </xf>
    <xf numFmtId="0" fontId="37" fillId="19" borderId="81" xfId="0" applyFont="1" applyFill="1" applyBorder="1" applyAlignment="1">
      <alignment horizontal="center" vertical="center"/>
    </xf>
    <xf numFmtId="0" fontId="14" fillId="19" borderId="0" xfId="0" applyFont="1" applyFill="1" applyBorder="1" applyAlignment="1">
      <alignment horizontal="left"/>
    </xf>
    <xf numFmtId="0" fontId="14" fillId="19" borderId="0" xfId="0" applyFont="1" applyFill="1" applyBorder="1" applyAlignment="1">
      <alignment horizontal="center"/>
    </xf>
    <xf numFmtId="0" fontId="32" fillId="19" borderId="76" xfId="0" applyFont="1" applyFill="1" applyBorder="1" applyAlignment="1">
      <alignment horizontal="center" vertical="center"/>
    </xf>
    <xf numFmtId="0" fontId="32" fillId="19" borderId="77" xfId="0" applyFont="1" applyFill="1" applyBorder="1" applyAlignment="1">
      <alignment horizontal="center" vertical="center"/>
    </xf>
    <xf numFmtId="0" fontId="32" fillId="19" borderId="78" xfId="0" applyFont="1" applyFill="1" applyBorder="1" applyAlignment="1">
      <alignment horizontal="center" vertical="center"/>
    </xf>
    <xf numFmtId="0" fontId="73" fillId="0" borderId="0" xfId="0" applyFont="1" applyAlignment="1">
      <alignment horizontal="left" vertical="top" wrapText="1"/>
    </xf>
    <xf numFmtId="0" fontId="27" fillId="0" borderId="0" xfId="0" applyFont="1" applyAlignment="1">
      <alignment horizontal="left" vertical="top" wrapText="1"/>
    </xf>
    <xf numFmtId="0" fontId="10" fillId="0" borderId="0" xfId="0" applyFont="1" applyAlignment="1">
      <alignment horizontal="left" vertical="top" wrapText="1"/>
    </xf>
    <xf numFmtId="0" fontId="189" fillId="6" borderId="84" xfId="0" applyFont="1" applyFill="1" applyBorder="1" applyAlignment="1">
      <alignment horizontal="center" vertical="center"/>
    </xf>
    <xf numFmtId="0" fontId="189" fillId="6" borderId="85" xfId="0" applyFont="1" applyFill="1" applyBorder="1" applyAlignment="1">
      <alignment horizontal="center" vertical="center"/>
    </xf>
    <xf numFmtId="0" fontId="189" fillId="6" borderId="86" xfId="0" applyFont="1" applyFill="1" applyBorder="1" applyAlignment="1">
      <alignment horizontal="center" vertical="center"/>
    </xf>
    <xf numFmtId="0" fontId="157" fillId="6" borderId="84" xfId="0" applyFont="1" applyFill="1" applyBorder="1" applyAlignment="1">
      <alignment horizontal="center" vertical="center"/>
    </xf>
    <xf numFmtId="0" fontId="157" fillId="6" borderId="86" xfId="0" applyFont="1" applyFill="1" applyBorder="1" applyAlignment="1">
      <alignment horizontal="center" vertical="center"/>
    </xf>
    <xf numFmtId="0" fontId="180" fillId="10" borderId="85" xfId="7" applyFont="1" applyFill="1" applyBorder="1" applyAlignment="1">
      <alignment horizontal="center" vertical="center"/>
    </xf>
    <xf numFmtId="164" fontId="145" fillId="6" borderId="84" xfId="1" applyNumberFormat="1" applyFont="1" applyFill="1" applyBorder="1" applyAlignment="1">
      <alignment horizontal="center" vertical="center"/>
    </xf>
    <xf numFmtId="164" fontId="145" fillId="6" borderId="85" xfId="1" applyNumberFormat="1" applyFont="1" applyFill="1" applyBorder="1" applyAlignment="1">
      <alignment horizontal="center" vertical="center"/>
    </xf>
    <xf numFmtId="164" fontId="145" fillId="6" borderId="86" xfId="1" applyNumberFormat="1" applyFont="1" applyFill="1" applyBorder="1" applyAlignment="1">
      <alignment horizontal="center" vertical="center"/>
    </xf>
    <xf numFmtId="164" fontId="99" fillId="0" borderId="0" xfId="1" applyNumberFormat="1" applyFont="1" applyBorder="1" applyAlignment="1">
      <alignment horizontal="center" vertical="top" wrapText="1"/>
    </xf>
    <xf numFmtId="0" fontId="32" fillId="9" borderId="10" xfId="0" applyFont="1" applyFill="1" applyBorder="1" applyAlignment="1">
      <alignment horizontal="center" wrapText="1"/>
    </xf>
    <xf numFmtId="0" fontId="32" fillId="9" borderId="11" xfId="0" applyFont="1" applyFill="1" applyBorder="1" applyAlignment="1">
      <alignment horizontal="center" wrapText="1"/>
    </xf>
    <xf numFmtId="0" fontId="32" fillId="9" borderId="10" xfId="0" applyFont="1" applyFill="1" applyBorder="1" applyAlignment="1">
      <alignment wrapText="1"/>
    </xf>
    <xf numFmtId="0" fontId="32" fillId="9" borderId="11" xfId="0" applyFont="1" applyFill="1" applyBorder="1" applyAlignment="1">
      <alignment wrapText="1"/>
    </xf>
    <xf numFmtId="164" fontId="32" fillId="9" borderId="33" xfId="1" applyNumberFormat="1" applyFont="1" applyFill="1" applyBorder="1" applyAlignment="1">
      <alignment horizontal="center" wrapText="1"/>
    </xf>
    <xf numFmtId="164" fontId="119" fillId="9" borderId="34" xfId="1" applyNumberFormat="1" applyFont="1" applyFill="1" applyBorder="1" applyAlignment="1">
      <alignment horizontal="center" vertical="center"/>
    </xf>
    <xf numFmtId="164" fontId="119" fillId="9" borderId="35" xfId="1" applyNumberFormat="1" applyFont="1" applyFill="1" applyBorder="1" applyAlignment="1">
      <alignment horizontal="center" vertical="center"/>
    </xf>
    <xf numFmtId="164" fontId="119" fillId="9" borderId="36" xfId="1" applyNumberFormat="1" applyFont="1" applyFill="1" applyBorder="1" applyAlignment="1">
      <alignment horizontal="center" vertical="center"/>
    </xf>
    <xf numFmtId="164" fontId="33" fillId="0" borderId="10" xfId="1" applyNumberFormat="1" applyFont="1" applyBorder="1" applyAlignment="1">
      <alignment horizontal="center"/>
    </xf>
    <xf numFmtId="164" fontId="33" fillId="0" borderId="12" xfId="1" applyNumberFormat="1" applyFont="1" applyBorder="1" applyAlignment="1">
      <alignment horizontal="center"/>
    </xf>
    <xf numFmtId="0" fontId="99" fillId="0" borderId="3" xfId="0" applyFont="1" applyBorder="1" applyAlignment="1" applyProtection="1">
      <alignment horizontal="center" vertical="center" wrapText="1"/>
    </xf>
    <xf numFmtId="0" fontId="99" fillId="0" borderId="0" xfId="0" applyFont="1" applyAlignment="1" applyProtection="1">
      <alignment horizontal="center" vertical="center" wrapText="1"/>
    </xf>
    <xf numFmtId="0" fontId="99" fillId="0" borderId="0" xfId="0" applyFont="1" applyAlignment="1" applyProtection="1">
      <alignment horizontal="left" vertical="center" wrapText="1"/>
    </xf>
    <xf numFmtId="0" fontId="188" fillId="6" borderId="84" xfId="0" applyFont="1" applyFill="1" applyBorder="1" applyAlignment="1" applyProtection="1">
      <alignment horizontal="center" vertical="center"/>
    </xf>
    <xf numFmtId="0" fontId="188" fillId="6" borderId="85" xfId="0" applyFont="1" applyFill="1" applyBorder="1" applyAlignment="1" applyProtection="1">
      <alignment horizontal="center" vertical="center"/>
    </xf>
    <xf numFmtId="0" fontId="188" fillId="6" borderId="86" xfId="0" applyFont="1" applyFill="1" applyBorder="1" applyAlignment="1" applyProtection="1">
      <alignment horizontal="center" vertical="center"/>
    </xf>
    <xf numFmtId="3" fontId="68" fillId="17" borderId="10" xfId="0" applyNumberFormat="1" applyFont="1" applyFill="1" applyBorder="1" applyAlignment="1" applyProtection="1">
      <alignment horizontal="left" vertical="center"/>
    </xf>
    <xf numFmtId="3" fontId="68" fillId="17" borderId="12" xfId="0" applyNumberFormat="1" applyFont="1" applyFill="1" applyBorder="1" applyAlignment="1" applyProtection="1">
      <alignment horizontal="left" vertical="center"/>
    </xf>
    <xf numFmtId="0" fontId="28" fillId="0" borderId="0" xfId="0" applyFont="1" applyAlignment="1" applyProtection="1">
      <alignment horizontal="left" vertical="center" wrapText="1"/>
    </xf>
    <xf numFmtId="0" fontId="28" fillId="0" borderId="6" xfId="0" applyFont="1" applyBorder="1" applyAlignment="1" applyProtection="1">
      <alignment horizontal="left" vertical="center" wrapText="1"/>
    </xf>
    <xf numFmtId="0" fontId="201" fillId="0" borderId="111" xfId="0" applyFont="1" applyFill="1" applyBorder="1" applyAlignment="1" applyProtection="1">
      <alignment horizontal="center" vertical="center" textRotation="255"/>
    </xf>
    <xf numFmtId="0" fontId="201" fillId="0" borderId="112" xfId="0" applyFont="1" applyFill="1" applyBorder="1" applyAlignment="1" applyProtection="1">
      <alignment horizontal="center" vertical="center" textRotation="255"/>
    </xf>
    <xf numFmtId="0" fontId="201" fillId="0" borderId="105" xfId="0" applyFont="1" applyFill="1" applyBorder="1" applyAlignment="1" applyProtection="1">
      <alignment horizontal="center" vertical="center" textRotation="255"/>
    </xf>
    <xf numFmtId="0" fontId="76" fillId="0" borderId="97" xfId="0" applyFont="1" applyFill="1" applyBorder="1" applyAlignment="1" applyProtection="1">
      <alignment horizontal="left" vertical="center"/>
    </xf>
    <xf numFmtId="0" fontId="76" fillId="0" borderId="106" xfId="0" applyFont="1" applyFill="1" applyBorder="1" applyAlignment="1" applyProtection="1">
      <alignment horizontal="left" vertical="center"/>
    </xf>
    <xf numFmtId="0" fontId="76" fillId="0" borderId="98" xfId="0" applyFont="1" applyFill="1" applyBorder="1" applyAlignment="1" applyProtection="1">
      <alignment horizontal="left" vertical="center"/>
    </xf>
    <xf numFmtId="0" fontId="187" fillId="0" borderId="0" xfId="0" applyFont="1" applyBorder="1" applyAlignment="1" applyProtection="1">
      <alignment horizontal="left" vertical="top" wrapText="1"/>
    </xf>
    <xf numFmtId="3" fontId="174" fillId="23" borderId="10" xfId="8" applyNumberFormat="1" applyFont="1" applyFill="1" applyBorder="1" applyAlignment="1" applyProtection="1">
      <alignment horizontal="center" vertical="center"/>
    </xf>
    <xf numFmtId="3" fontId="174" fillId="23" borderId="11" xfId="8" applyNumberFormat="1" applyFont="1" applyFill="1" applyBorder="1" applyAlignment="1" applyProtection="1">
      <alignment horizontal="center" vertical="center"/>
    </xf>
    <xf numFmtId="3" fontId="174" fillId="23" borderId="12" xfId="8" applyNumberFormat="1" applyFont="1" applyFill="1" applyBorder="1" applyAlignment="1" applyProtection="1">
      <alignment horizontal="center" vertical="center"/>
    </xf>
    <xf numFmtId="3" fontId="70" fillId="0" borderId="0" xfId="1" applyNumberFormat="1" applyFont="1" applyAlignment="1" applyProtection="1">
      <alignment horizontal="center"/>
    </xf>
    <xf numFmtId="0" fontId="97" fillId="0" borderId="10" xfId="0" applyFont="1" applyFill="1" applyBorder="1" applyAlignment="1" applyProtection="1">
      <alignment horizontal="center" vertical="center"/>
    </xf>
    <xf numFmtId="0" fontId="97" fillId="0" borderId="12" xfId="0" applyFont="1" applyFill="1" applyBorder="1" applyAlignment="1" applyProtection="1">
      <alignment horizontal="center" vertical="center"/>
    </xf>
    <xf numFmtId="164" fontId="64" fillId="0" borderId="10" xfId="1" applyNumberFormat="1" applyFont="1" applyFill="1" applyBorder="1" applyAlignment="1" applyProtection="1">
      <alignment horizontal="center" vertical="center" wrapText="1"/>
    </xf>
    <xf numFmtId="164" fontId="64" fillId="0" borderId="12" xfId="1" applyNumberFormat="1" applyFont="1" applyFill="1" applyBorder="1" applyAlignment="1" applyProtection="1">
      <alignment horizontal="center" vertical="center" wrapText="1"/>
    </xf>
    <xf numFmtId="0" fontId="116" fillId="23" borderId="10" xfId="0" applyFont="1" applyFill="1" applyBorder="1" applyAlignment="1" applyProtection="1">
      <alignment horizontal="center" vertical="center"/>
    </xf>
    <xf numFmtId="0" fontId="116" fillId="23" borderId="11" xfId="0" applyFont="1" applyFill="1" applyBorder="1" applyAlignment="1" applyProtection="1">
      <alignment horizontal="center" vertical="center"/>
    </xf>
    <xf numFmtId="0" fontId="116" fillId="23" borderId="12" xfId="0" applyFont="1" applyFill="1" applyBorder="1" applyAlignment="1" applyProtection="1">
      <alignment horizontal="center" vertical="center"/>
    </xf>
    <xf numFmtId="0" fontId="84" fillId="23" borderId="10" xfId="0" applyFont="1" applyFill="1" applyBorder="1" applyAlignment="1" applyProtection="1">
      <alignment horizontal="center" vertical="center" wrapText="1"/>
    </xf>
    <xf numFmtId="0" fontId="84" fillId="23" borderId="11" xfId="0" applyFont="1" applyFill="1" applyBorder="1" applyAlignment="1" applyProtection="1">
      <alignment horizontal="center" vertical="center" wrapText="1"/>
    </xf>
    <xf numFmtId="0" fontId="84" fillId="23" borderId="12" xfId="0" applyFont="1" applyFill="1" applyBorder="1" applyAlignment="1" applyProtection="1">
      <alignment horizontal="center" vertical="center" wrapText="1"/>
    </xf>
    <xf numFmtId="0" fontId="68" fillId="23" borderId="10" xfId="0" applyFont="1" applyFill="1" applyBorder="1" applyAlignment="1" applyProtection="1">
      <alignment horizontal="center" vertical="center" wrapText="1"/>
    </xf>
    <xf numFmtId="0" fontId="68" fillId="23" borderId="11" xfId="0" applyFont="1" applyFill="1" applyBorder="1" applyAlignment="1" applyProtection="1">
      <alignment horizontal="center" vertical="center" wrapText="1"/>
    </xf>
    <xf numFmtId="0" fontId="68" fillId="23" borderId="12" xfId="0" applyFont="1" applyFill="1" applyBorder="1" applyAlignment="1" applyProtection="1">
      <alignment horizontal="center" vertical="center" wrapText="1"/>
    </xf>
  </cellXfs>
  <cellStyles count="10">
    <cellStyle name="Comma" xfId="1" builtinId="3"/>
    <cellStyle name="Comma 2" xfId="4"/>
    <cellStyle name="Comma 3" xfId="8"/>
    <cellStyle name="Currency" xfId="6" builtinId="4"/>
    <cellStyle name="Normal" xfId="0" builtinId="0"/>
    <cellStyle name="Normal 2" xfId="3"/>
    <cellStyle name="Normal 3" xfId="7"/>
    <cellStyle name="Percent" xfId="2" builtinId="5"/>
    <cellStyle name="Percent 2" xfId="5"/>
    <cellStyle name="Percent 3" xfId="9"/>
  </cellStyles>
  <dxfs count="0"/>
  <tableStyles count="0" defaultTableStyle="TableStyleMedium9" defaultPivotStyle="PivotStyleLight16"/>
  <colors>
    <mruColors>
      <color rgb="FFFFFFCC"/>
      <color rgb="FFC5D9F1"/>
      <color rgb="FF98C3DE"/>
      <color rgb="FFEAEAEA"/>
      <color rgb="FF002247"/>
      <color rgb="FFFFD200"/>
      <color rgb="FF001935"/>
      <color rgb="FF002060"/>
      <color rgb="FF00193F"/>
      <color rgb="FF4A7EBB"/>
    </mru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6" Type="http://schemas.openxmlformats.org/officeDocument/2006/relationships/image" Target="../media/image6.wmf"/><Relationship Id="rId5" Type="http://schemas.openxmlformats.org/officeDocument/2006/relationships/image" Target="../media/image5.wmf"/><Relationship Id="rId4" Type="http://schemas.openxmlformats.org/officeDocument/2006/relationships/image" Target="../media/image4.wmf"/></Relationships>
</file>

<file path=xl/drawings/_rels/drawing2.xml.rels><?xml version="1.0" encoding="UTF-8" standalone="yes"?>
<Relationships xmlns="http://schemas.openxmlformats.org/package/2006/relationships"><Relationship Id="rId2" Type="http://schemas.openxmlformats.org/officeDocument/2006/relationships/image" Target="../media/image8.jpeg"/><Relationship Id="rId1" Type="http://schemas.openxmlformats.org/officeDocument/2006/relationships/image" Target="../media/image7.jpeg"/></Relationships>
</file>

<file path=xl/drawings/_rels/drawing3.xml.rels><?xml version="1.0" encoding="UTF-8" standalone="yes"?>
<Relationships xmlns="http://schemas.openxmlformats.org/package/2006/relationships"><Relationship Id="rId1" Type="http://schemas.openxmlformats.org/officeDocument/2006/relationships/image" Target="../media/image9.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0.wmf"/></Relationships>
</file>

<file path=xl/drawings/_rels/drawing5.xml.rels><?xml version="1.0" encoding="UTF-8" standalone="yes"?>
<Relationships xmlns="http://schemas.openxmlformats.org/package/2006/relationships"><Relationship Id="rId1" Type="http://schemas.openxmlformats.org/officeDocument/2006/relationships/image" Target="../media/image11.wmf"/></Relationships>
</file>

<file path=xl/drawings/_rels/drawing6.xml.rels><?xml version="1.0" encoding="UTF-8" standalone="yes"?>
<Relationships xmlns="http://schemas.openxmlformats.org/package/2006/relationships"><Relationship Id="rId2" Type="http://schemas.openxmlformats.org/officeDocument/2006/relationships/image" Target="../media/image7.jpeg"/><Relationship Id="rId1" Type="http://schemas.openxmlformats.org/officeDocument/2006/relationships/image" Target="../media/image10.wmf"/></Relationships>
</file>

<file path=xl/drawings/drawing1.xml><?xml version="1.0" encoding="utf-8"?>
<xdr:wsDr xmlns:xdr="http://schemas.openxmlformats.org/drawingml/2006/spreadsheetDrawing" xmlns:a="http://schemas.openxmlformats.org/drawingml/2006/main">
  <xdr:twoCellAnchor editAs="oneCell">
    <xdr:from>
      <xdr:col>3</xdr:col>
      <xdr:colOff>19049</xdr:colOff>
      <xdr:row>1</xdr:row>
      <xdr:rowOff>0</xdr:rowOff>
    </xdr:from>
    <xdr:to>
      <xdr:col>5</xdr:col>
      <xdr:colOff>771524</xdr:colOff>
      <xdr:row>1</xdr:row>
      <xdr:rowOff>1012613</xdr:rowOff>
    </xdr:to>
    <xdr:pic>
      <xdr:nvPicPr>
        <xdr:cNvPr id="2"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2752724" y="76200"/>
          <a:ext cx="2524125" cy="1012613"/>
        </a:xfrm>
        <a:prstGeom prst="rect">
          <a:avLst/>
        </a:prstGeom>
        <a:noFill/>
        <a:ln w="9525">
          <a:noFill/>
          <a:miter lim="800000"/>
          <a:headEnd/>
          <a:tailEnd/>
        </a:ln>
      </xdr:spPr>
    </xdr:pic>
    <xdr:clientData/>
  </xdr:twoCellAnchor>
  <xdr:twoCellAnchor editAs="oneCell">
    <xdr:from>
      <xdr:col>0</xdr:col>
      <xdr:colOff>66675</xdr:colOff>
      <xdr:row>0</xdr:row>
      <xdr:rowOff>70115</xdr:rowOff>
    </xdr:from>
    <xdr:to>
      <xdr:col>2</xdr:col>
      <xdr:colOff>762001</xdr:colOff>
      <xdr:row>4</xdr:row>
      <xdr:rowOff>190501</xdr:rowOff>
    </xdr:to>
    <xdr:pic>
      <xdr:nvPicPr>
        <xdr:cNvPr id="3" name="Picture 2"/>
        <xdr:cNvPicPr>
          <a:picLocks noChangeAspect="1" noChangeArrowheads="1"/>
        </xdr:cNvPicPr>
      </xdr:nvPicPr>
      <xdr:blipFill>
        <a:blip xmlns:r="http://schemas.openxmlformats.org/officeDocument/2006/relationships" r:embed="rId2" cstate="print"/>
        <a:srcRect/>
        <a:stretch>
          <a:fillRect/>
        </a:stretch>
      </xdr:blipFill>
      <xdr:spPr bwMode="auto">
        <a:xfrm>
          <a:off x="66675" y="70115"/>
          <a:ext cx="2581276" cy="3035036"/>
        </a:xfrm>
        <a:prstGeom prst="rect">
          <a:avLst/>
        </a:prstGeom>
        <a:noFill/>
        <a:ln w="9525">
          <a:noFill/>
          <a:miter lim="800000"/>
          <a:headEnd/>
          <a:tailEnd/>
        </a:ln>
      </xdr:spPr>
    </xdr:pic>
    <xdr:clientData/>
  </xdr:twoCellAnchor>
  <xdr:twoCellAnchor editAs="oneCell">
    <xdr:from>
      <xdr:col>3</xdr:col>
      <xdr:colOff>0</xdr:colOff>
      <xdr:row>3</xdr:row>
      <xdr:rowOff>19050</xdr:rowOff>
    </xdr:from>
    <xdr:to>
      <xdr:col>6</xdr:col>
      <xdr:colOff>942975</xdr:colOff>
      <xdr:row>4</xdr:row>
      <xdr:rowOff>228600</xdr:rowOff>
    </xdr:to>
    <xdr:pic>
      <xdr:nvPicPr>
        <xdr:cNvPr id="4" name="Picture 3"/>
        <xdr:cNvPicPr>
          <a:picLocks noChangeAspect="1" noChangeArrowheads="1"/>
        </xdr:cNvPicPr>
      </xdr:nvPicPr>
      <xdr:blipFill>
        <a:blip xmlns:r="http://schemas.openxmlformats.org/officeDocument/2006/relationships" r:embed="rId3" cstate="print"/>
        <a:srcRect/>
        <a:stretch>
          <a:fillRect/>
        </a:stretch>
      </xdr:blipFill>
      <xdr:spPr bwMode="auto">
        <a:xfrm>
          <a:off x="2733675" y="2133600"/>
          <a:ext cx="3562350" cy="1009650"/>
        </a:xfrm>
        <a:prstGeom prst="rect">
          <a:avLst/>
        </a:prstGeom>
        <a:noFill/>
        <a:ln w="9525">
          <a:noFill/>
          <a:miter lim="800000"/>
          <a:headEnd/>
          <a:tailEnd/>
        </a:ln>
      </xdr:spPr>
    </xdr:pic>
    <xdr:clientData/>
  </xdr:twoCellAnchor>
  <xdr:twoCellAnchor editAs="oneCell">
    <xdr:from>
      <xdr:col>5</xdr:col>
      <xdr:colOff>838201</xdr:colOff>
      <xdr:row>10</xdr:row>
      <xdr:rowOff>74098</xdr:rowOff>
    </xdr:from>
    <xdr:to>
      <xdr:col>6</xdr:col>
      <xdr:colOff>971550</xdr:colOff>
      <xdr:row>12</xdr:row>
      <xdr:rowOff>47625</xdr:rowOff>
    </xdr:to>
    <xdr:pic>
      <xdr:nvPicPr>
        <xdr:cNvPr id="5" name="Picture 4" descr="Pru_ko.wmf"/>
        <xdr:cNvPicPr>
          <a:picLocks noChangeAspect="1"/>
        </xdr:cNvPicPr>
      </xdr:nvPicPr>
      <xdr:blipFill>
        <a:blip xmlns:r="http://schemas.openxmlformats.org/officeDocument/2006/relationships" r:embed="rId4" cstate="print">
          <a:duotone>
            <a:prstClr val="black"/>
            <a:schemeClr val="accent1">
              <a:tint val="45000"/>
              <a:satMod val="400000"/>
            </a:schemeClr>
          </a:duotone>
          <a:lum bright="-36000" contrast="35000"/>
        </a:blip>
        <a:stretch>
          <a:fillRect/>
        </a:stretch>
      </xdr:blipFill>
      <xdr:spPr>
        <a:xfrm>
          <a:off x="5267326" y="8189398"/>
          <a:ext cx="981074" cy="316427"/>
        </a:xfrm>
        <a:prstGeom prst="rect">
          <a:avLst/>
        </a:prstGeom>
        <a:noFill/>
        <a:ln>
          <a:noFill/>
        </a:ln>
      </xdr:spPr>
    </xdr:pic>
    <xdr:clientData/>
  </xdr:twoCellAnchor>
  <xdr:twoCellAnchor editAs="oneCell">
    <xdr:from>
      <xdr:col>6</xdr:col>
      <xdr:colOff>142875</xdr:colOff>
      <xdr:row>1</xdr:row>
      <xdr:rowOff>123826</xdr:rowOff>
    </xdr:from>
    <xdr:to>
      <xdr:col>6</xdr:col>
      <xdr:colOff>555096</xdr:colOff>
      <xdr:row>1</xdr:row>
      <xdr:rowOff>904875</xdr:rowOff>
    </xdr:to>
    <xdr:pic>
      <xdr:nvPicPr>
        <xdr:cNvPr id="6" name="Picture 9" descr="P_BusMan.wmf"/>
        <xdr:cNvPicPr>
          <a:picLocks noChangeAspect="1"/>
        </xdr:cNvPicPr>
      </xdr:nvPicPr>
      <xdr:blipFill>
        <a:blip xmlns:r="http://schemas.openxmlformats.org/officeDocument/2006/relationships" r:embed="rId5" cstate="print"/>
        <a:srcRect/>
        <a:stretch>
          <a:fillRect/>
        </a:stretch>
      </xdr:blipFill>
      <xdr:spPr bwMode="auto">
        <a:xfrm>
          <a:off x="5676900" y="200026"/>
          <a:ext cx="412221" cy="781049"/>
        </a:xfrm>
        <a:prstGeom prst="rect">
          <a:avLst/>
        </a:prstGeom>
        <a:noFill/>
        <a:ln w="9525">
          <a:noFill/>
          <a:miter lim="800000"/>
          <a:headEnd/>
          <a:tailEnd/>
        </a:ln>
      </xdr:spPr>
    </xdr:pic>
    <xdr:clientData/>
  </xdr:twoCellAnchor>
  <xdr:twoCellAnchor editAs="oneCell">
    <xdr:from>
      <xdr:col>6</xdr:col>
      <xdr:colOff>628650</xdr:colOff>
      <xdr:row>1</xdr:row>
      <xdr:rowOff>161925</xdr:rowOff>
    </xdr:from>
    <xdr:to>
      <xdr:col>6</xdr:col>
      <xdr:colOff>781050</xdr:colOff>
      <xdr:row>1</xdr:row>
      <xdr:rowOff>915458</xdr:rowOff>
    </xdr:to>
    <xdr:pic>
      <xdr:nvPicPr>
        <xdr:cNvPr id="7" name="Picture 10" descr="P_Woman_WrkWear.wmf"/>
        <xdr:cNvPicPr>
          <a:picLocks noChangeAspect="1"/>
        </xdr:cNvPicPr>
      </xdr:nvPicPr>
      <xdr:blipFill>
        <a:blip xmlns:r="http://schemas.openxmlformats.org/officeDocument/2006/relationships" r:embed="rId6" cstate="print"/>
        <a:srcRect/>
        <a:stretch>
          <a:fillRect/>
        </a:stretch>
      </xdr:blipFill>
      <xdr:spPr bwMode="auto">
        <a:xfrm>
          <a:off x="6162675" y="238125"/>
          <a:ext cx="152400" cy="753533"/>
        </a:xfrm>
        <a:prstGeom prst="rect">
          <a:avLst/>
        </a:prstGeom>
        <a:noFill/>
        <a:ln w="9525">
          <a:noFill/>
          <a:miter lim="800000"/>
          <a:headEnd/>
          <a:tailEnd/>
        </a:ln>
      </xdr:spPr>
    </xdr:pic>
    <xdr:clientData/>
  </xdr:twoCellAnchor>
  <xdr:twoCellAnchor>
    <xdr:from>
      <xdr:col>0</xdr:col>
      <xdr:colOff>514351</xdr:colOff>
      <xdr:row>4</xdr:row>
      <xdr:rowOff>476250</xdr:rowOff>
    </xdr:from>
    <xdr:to>
      <xdr:col>6</xdr:col>
      <xdr:colOff>609600</xdr:colOff>
      <xdr:row>4</xdr:row>
      <xdr:rowOff>1333500</xdr:rowOff>
    </xdr:to>
    <xdr:sp macro="" textlink="">
      <xdr:nvSpPr>
        <xdr:cNvPr id="8" name="Rectangle 7"/>
        <xdr:cNvSpPr/>
      </xdr:nvSpPr>
      <xdr:spPr>
        <a:xfrm>
          <a:off x="514351" y="3609975"/>
          <a:ext cx="5629274" cy="857250"/>
        </a:xfrm>
        <a:prstGeom prst="rect">
          <a:avLst/>
        </a:prstGeom>
        <a:solidFill>
          <a:srgbClr val="C5D9F1"/>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p>
          <a:endParaRPr lang="en-US"/>
        </a:p>
      </xdr:txBody>
    </xdr:sp>
    <xdr:clientData/>
  </xdr:twoCellAnchor>
  <xdr:twoCellAnchor>
    <xdr:from>
      <xdr:col>0</xdr:col>
      <xdr:colOff>704850</xdr:colOff>
      <xdr:row>4</xdr:row>
      <xdr:rowOff>609600</xdr:rowOff>
    </xdr:from>
    <xdr:to>
      <xdr:col>6</xdr:col>
      <xdr:colOff>123825</xdr:colOff>
      <xdr:row>4</xdr:row>
      <xdr:rowOff>1209675</xdr:rowOff>
    </xdr:to>
    <xdr:sp macro="" textlink="">
      <xdr:nvSpPr>
        <xdr:cNvPr id="9" name="TextBox 20"/>
        <xdr:cNvSpPr txBox="1"/>
      </xdr:nvSpPr>
      <xdr:spPr>
        <a:xfrm>
          <a:off x="704850" y="3524250"/>
          <a:ext cx="4695825" cy="600075"/>
        </a:xfrm>
        <a:prstGeom prst="rect">
          <a:avLst/>
        </a:prstGeom>
        <a:noFill/>
      </xdr:spPr>
      <xdr:txBody>
        <a:bodyPr wrap="square" rtlCol="0"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r">
            <a:lnSpc>
              <a:spcPct val="95000"/>
            </a:lnSpc>
          </a:pPr>
          <a:r>
            <a:rPr lang="en-US" sz="1600" b="1">
              <a:latin typeface="Arial" pitchFamily="34" charset="0"/>
              <a:cs typeface="Arial" pitchFamily="34" charset="0"/>
            </a:rPr>
            <a:t>     </a:t>
          </a:r>
          <a:r>
            <a:rPr lang="en-US" sz="1600" b="1" baseline="0">
              <a:latin typeface="Arial" pitchFamily="34" charset="0"/>
              <a:cs typeface="Arial" pitchFamily="34" charset="0"/>
            </a:rPr>
            <a:t> </a:t>
          </a:r>
          <a:r>
            <a:rPr lang="en-US" sz="1600" b="1">
              <a:latin typeface="Arial" pitchFamily="34" charset="0"/>
              <a:cs typeface="Arial" pitchFamily="34" charset="0"/>
            </a:rPr>
            <a:t>Analyze</a:t>
          </a:r>
          <a:r>
            <a:rPr lang="en-US" sz="1600" b="1" baseline="0">
              <a:latin typeface="Arial" pitchFamily="34" charset="0"/>
              <a:cs typeface="Arial" pitchFamily="34" charset="0"/>
            </a:rPr>
            <a:t> Your Estate &amp; IRD Taxes</a:t>
          </a:r>
        </a:p>
      </xdr:txBody>
    </xdr:sp>
    <xdr:clientData/>
  </xdr:twoCellAnchor>
  <xdr:twoCellAnchor>
    <xdr:from>
      <xdr:col>1</xdr:col>
      <xdr:colOff>47625</xdr:colOff>
      <xdr:row>4</xdr:row>
      <xdr:rowOff>657225</xdr:rowOff>
    </xdr:from>
    <xdr:to>
      <xdr:col>2</xdr:col>
      <xdr:colOff>28575</xdr:colOff>
      <xdr:row>4</xdr:row>
      <xdr:rowOff>1209675</xdr:rowOff>
    </xdr:to>
    <xdr:sp macro="" textlink="">
      <xdr:nvSpPr>
        <xdr:cNvPr id="10" name="Oval 9"/>
        <xdr:cNvSpPr/>
      </xdr:nvSpPr>
      <xdr:spPr>
        <a:xfrm>
          <a:off x="990600" y="3571875"/>
          <a:ext cx="923925" cy="552450"/>
        </a:xfrm>
        <a:prstGeom prst="ellipse">
          <a:avLst/>
        </a:prstGeom>
        <a:solidFill>
          <a:srgbClr val="05639E"/>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b="1" cap="small" baseline="0">
              <a:solidFill>
                <a:srgbClr val="FFD200"/>
              </a:solidFill>
              <a:effectLst>
                <a:outerShdw blurRad="38100" dist="38100" dir="2700000" algn="tl">
                  <a:srgbClr val="000000">
                    <a:alpha val="43137"/>
                  </a:srgbClr>
                </a:outerShdw>
              </a:effectLst>
              <a:latin typeface="Arial" pitchFamily="34" charset="0"/>
              <a:cs typeface="Arial" pitchFamily="34" charset="0"/>
            </a:rPr>
            <a:t>2013</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495300</xdr:colOff>
      <xdr:row>30</xdr:row>
      <xdr:rowOff>85725</xdr:rowOff>
    </xdr:from>
    <xdr:to>
      <xdr:col>6</xdr:col>
      <xdr:colOff>421767</xdr:colOff>
      <xdr:row>32</xdr:row>
      <xdr:rowOff>0</xdr:rowOff>
    </xdr:to>
    <xdr:sp macro="" textlink="">
      <xdr:nvSpPr>
        <xdr:cNvPr id="5" name="Bent-Up Arrow 4"/>
        <xdr:cNvSpPr/>
      </xdr:nvSpPr>
      <xdr:spPr>
        <a:xfrm>
          <a:off x="4086225" y="4181475"/>
          <a:ext cx="850392" cy="731520"/>
        </a:xfrm>
        <a:prstGeom prst="bentUpArrow">
          <a:avLst/>
        </a:prstGeom>
        <a:scene3d>
          <a:camera prst="orthographicFront">
            <a:rot lat="0" lon="5400000" rev="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p>
      </xdr:txBody>
    </xdr:sp>
    <xdr:clientData/>
  </xdr:twoCellAnchor>
  <xdr:twoCellAnchor editAs="oneCell">
    <xdr:from>
      <xdr:col>9</xdr:col>
      <xdr:colOff>626189</xdr:colOff>
      <xdr:row>49</xdr:row>
      <xdr:rowOff>28575</xdr:rowOff>
    </xdr:from>
    <xdr:to>
      <xdr:col>15</xdr:col>
      <xdr:colOff>419101</xdr:colOff>
      <xdr:row>50</xdr:row>
      <xdr:rowOff>295275</xdr:rowOff>
    </xdr:to>
    <xdr:pic>
      <xdr:nvPicPr>
        <xdr:cNvPr id="9" name="Picture 8" descr="PruBYC_Black_SM.jpg"/>
        <xdr:cNvPicPr>
          <a:picLocks noChangeAspect="1"/>
        </xdr:cNvPicPr>
      </xdr:nvPicPr>
      <xdr:blipFill>
        <a:blip xmlns:r="http://schemas.openxmlformats.org/officeDocument/2006/relationships" r:embed="rId1" cstate="print"/>
        <a:stretch>
          <a:fillRect/>
        </a:stretch>
      </xdr:blipFill>
      <xdr:spPr>
        <a:xfrm>
          <a:off x="6350714" y="9544050"/>
          <a:ext cx="1374062" cy="400050"/>
        </a:xfrm>
        <a:prstGeom prst="rect">
          <a:avLst/>
        </a:prstGeom>
      </xdr:spPr>
    </xdr:pic>
    <xdr:clientData/>
  </xdr:twoCellAnchor>
  <xdr:twoCellAnchor editAs="oneCell">
    <xdr:from>
      <xdr:col>10</xdr:col>
      <xdr:colOff>179288</xdr:colOff>
      <xdr:row>17</xdr:row>
      <xdr:rowOff>28576</xdr:rowOff>
    </xdr:from>
    <xdr:to>
      <xdr:col>15</xdr:col>
      <xdr:colOff>514350</xdr:colOff>
      <xdr:row>23</xdr:row>
      <xdr:rowOff>152400</xdr:rowOff>
    </xdr:to>
    <xdr:pic>
      <xdr:nvPicPr>
        <xdr:cNvPr id="18" name="Picture 17" descr="Dat_Calculator.jpg"/>
        <xdr:cNvPicPr>
          <a:picLocks noChangeAspect="1"/>
        </xdr:cNvPicPr>
      </xdr:nvPicPr>
      <xdr:blipFill>
        <a:blip xmlns:r="http://schemas.openxmlformats.org/officeDocument/2006/relationships" r:embed="rId2" cstate="print"/>
        <a:stretch>
          <a:fillRect/>
        </a:stretch>
      </xdr:blipFill>
      <xdr:spPr>
        <a:xfrm>
          <a:off x="6884888" y="3305176"/>
          <a:ext cx="1068487" cy="1076324"/>
        </a:xfrm>
        <a:prstGeom prst="rect">
          <a:avLst/>
        </a:prstGeom>
      </xdr:spPr>
    </xdr:pic>
    <xdr:clientData/>
  </xdr:twoCellAnchor>
  <xdr:twoCellAnchor>
    <xdr:from>
      <xdr:col>9</xdr:col>
      <xdr:colOff>390525</xdr:colOff>
      <xdr:row>28</xdr:row>
      <xdr:rowOff>95250</xdr:rowOff>
    </xdr:from>
    <xdr:to>
      <xdr:col>9</xdr:col>
      <xdr:colOff>390525</xdr:colOff>
      <xdr:row>30</xdr:row>
      <xdr:rowOff>104775</xdr:rowOff>
    </xdr:to>
    <xdr:cxnSp macro="">
      <xdr:nvCxnSpPr>
        <xdr:cNvPr id="14" name="Straight Arrow Connector 13"/>
        <xdr:cNvCxnSpPr/>
      </xdr:nvCxnSpPr>
      <xdr:spPr>
        <a:xfrm>
          <a:off x="6134100" y="4914900"/>
          <a:ext cx="0" cy="390525"/>
        </a:xfrm>
        <a:prstGeom prst="straightConnector1">
          <a:avLst/>
        </a:prstGeom>
        <a:ln>
          <a:solidFill>
            <a:schemeClr val="bg1">
              <a:lumMod val="75000"/>
            </a:schemeClr>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19050</xdr:colOff>
      <xdr:row>28</xdr:row>
      <xdr:rowOff>95250</xdr:rowOff>
    </xdr:from>
    <xdr:to>
      <xdr:col>9</xdr:col>
      <xdr:colOff>390525</xdr:colOff>
      <xdr:row>28</xdr:row>
      <xdr:rowOff>95250</xdr:rowOff>
    </xdr:to>
    <xdr:cxnSp macro="">
      <xdr:nvCxnSpPr>
        <xdr:cNvPr id="13" name="Straight Connector 12"/>
        <xdr:cNvCxnSpPr/>
      </xdr:nvCxnSpPr>
      <xdr:spPr>
        <a:xfrm>
          <a:off x="4095750" y="4914900"/>
          <a:ext cx="2038350" cy="0"/>
        </a:xfrm>
        <a:prstGeom prst="line">
          <a:avLst/>
        </a:prstGeom>
        <a:ln>
          <a:solidFill>
            <a:schemeClr val="bg1">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editAs="oneCell">
    <xdr:from>
      <xdr:col>9</xdr:col>
      <xdr:colOff>171450</xdr:colOff>
      <xdr:row>36</xdr:row>
      <xdr:rowOff>9526</xdr:rowOff>
    </xdr:from>
    <xdr:to>
      <xdr:col>9</xdr:col>
      <xdr:colOff>838200</xdr:colOff>
      <xdr:row>37</xdr:row>
      <xdr:rowOff>228601</xdr:rowOff>
    </xdr:to>
    <xdr:pic>
      <xdr:nvPicPr>
        <xdr:cNvPr id="2" name="Picture 1" descr="Bld_Bank1.jpg"/>
        <xdr:cNvPicPr>
          <a:picLocks noChangeAspect="1"/>
        </xdr:cNvPicPr>
      </xdr:nvPicPr>
      <xdr:blipFill>
        <a:blip xmlns:r="http://schemas.openxmlformats.org/officeDocument/2006/relationships" r:embed="rId1" cstate="print"/>
        <a:stretch>
          <a:fillRect/>
        </a:stretch>
      </xdr:blipFill>
      <xdr:spPr>
        <a:xfrm>
          <a:off x="6076950" y="8448676"/>
          <a:ext cx="666750" cy="762000"/>
        </a:xfrm>
        <a:prstGeom prst="rect">
          <a:avLst/>
        </a:prstGeom>
      </xdr:spPr>
    </xdr:pic>
    <xdr:clientData/>
  </xdr:twoCellAnchor>
  <xdr:twoCellAnchor>
    <xdr:from>
      <xdr:col>3</xdr:col>
      <xdr:colOff>561976</xdr:colOff>
      <xdr:row>15</xdr:row>
      <xdr:rowOff>95250</xdr:rowOff>
    </xdr:from>
    <xdr:to>
      <xdr:col>7</xdr:col>
      <xdr:colOff>466725</xdr:colOff>
      <xdr:row>19</xdr:row>
      <xdr:rowOff>23813</xdr:rowOff>
    </xdr:to>
    <xdr:sp macro="" textlink="" fLocksText="0">
      <xdr:nvSpPr>
        <xdr:cNvPr id="3" name="Rounded Rectangle 2"/>
        <xdr:cNvSpPr/>
      </xdr:nvSpPr>
      <xdr:spPr>
        <a:xfrm>
          <a:off x="2895601" y="3590925"/>
          <a:ext cx="2285999" cy="690563"/>
        </a:xfrm>
        <a:prstGeom prst="roundRect">
          <a:avLst/>
        </a:prstGeom>
        <a:solidFill>
          <a:srgbClr val="05639E">
            <a:alpha val="0"/>
          </a:srgbClr>
        </a:solidFill>
        <a:ln w="12700">
          <a:solidFill>
            <a:srgbClr val="05639E"/>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p>
      </xdr:txBody>
    </xdr:sp>
    <xdr:clientData fLocksWithSheet="0"/>
  </xdr:twoCellAnchor>
  <xdr:twoCellAnchor>
    <xdr:from>
      <xdr:col>2</xdr:col>
      <xdr:colOff>314325</xdr:colOff>
      <xdr:row>21</xdr:row>
      <xdr:rowOff>133351</xdr:rowOff>
    </xdr:from>
    <xdr:to>
      <xdr:col>4</xdr:col>
      <xdr:colOff>57150</xdr:colOff>
      <xdr:row>24</xdr:row>
      <xdr:rowOff>38100</xdr:rowOff>
    </xdr:to>
    <xdr:sp macro="" textlink="" fLocksText="0">
      <xdr:nvSpPr>
        <xdr:cNvPr id="4" name="Rounded Rectangle 3"/>
        <xdr:cNvSpPr/>
      </xdr:nvSpPr>
      <xdr:spPr>
        <a:xfrm>
          <a:off x="2238375" y="4772026"/>
          <a:ext cx="1219200" cy="476249"/>
        </a:xfrm>
        <a:prstGeom prst="roundRect">
          <a:avLst/>
        </a:prstGeom>
        <a:solidFill>
          <a:srgbClr val="05639E">
            <a:alpha val="0"/>
          </a:srgbClr>
        </a:solidFill>
        <a:ln w="12700">
          <a:solidFill>
            <a:srgbClr val="05639E"/>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p>
      </xdr:txBody>
    </xdr:sp>
    <xdr:clientData fLocksWithSheet="0"/>
  </xdr:twoCellAnchor>
  <xdr:twoCellAnchor>
    <xdr:from>
      <xdr:col>4</xdr:col>
      <xdr:colOff>76200</xdr:colOff>
      <xdr:row>21</xdr:row>
      <xdr:rowOff>133350</xdr:rowOff>
    </xdr:from>
    <xdr:to>
      <xdr:col>6</xdr:col>
      <xdr:colOff>57150</xdr:colOff>
      <xdr:row>24</xdr:row>
      <xdr:rowOff>38099</xdr:rowOff>
    </xdr:to>
    <xdr:sp macro="" textlink="" fLocksText="0">
      <xdr:nvSpPr>
        <xdr:cNvPr id="5" name="Rounded Rectangle 4"/>
        <xdr:cNvSpPr/>
      </xdr:nvSpPr>
      <xdr:spPr>
        <a:xfrm>
          <a:off x="3476625" y="4772025"/>
          <a:ext cx="1171575" cy="476249"/>
        </a:xfrm>
        <a:prstGeom prst="roundRect">
          <a:avLst/>
        </a:prstGeom>
        <a:solidFill>
          <a:srgbClr val="05639E">
            <a:alpha val="0"/>
          </a:srgbClr>
        </a:solidFill>
        <a:ln w="12700">
          <a:solidFill>
            <a:srgbClr val="05639E"/>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p>
      </xdr:txBody>
    </xdr:sp>
    <xdr:clientData fLocksWithSheet="0"/>
  </xdr:twoCellAnchor>
  <xdr:twoCellAnchor>
    <xdr:from>
      <xdr:col>1</xdr:col>
      <xdr:colOff>542925</xdr:colOff>
      <xdr:row>29</xdr:row>
      <xdr:rowOff>142875</xdr:rowOff>
    </xdr:from>
    <xdr:to>
      <xdr:col>9</xdr:col>
      <xdr:colOff>495300</xdr:colOff>
      <xdr:row>32</xdr:row>
      <xdr:rowOff>85725</xdr:rowOff>
    </xdr:to>
    <xdr:sp macro="" textlink="" fLocksText="0">
      <xdr:nvSpPr>
        <xdr:cNvPr id="6" name="Rounded Rectangle 5"/>
        <xdr:cNvSpPr/>
      </xdr:nvSpPr>
      <xdr:spPr>
        <a:xfrm>
          <a:off x="1543050" y="6305550"/>
          <a:ext cx="4857750" cy="514350"/>
        </a:xfrm>
        <a:prstGeom prst="roundRect">
          <a:avLst/>
        </a:prstGeom>
        <a:solidFill>
          <a:srgbClr val="05639E">
            <a:alpha val="0"/>
          </a:srgbClr>
        </a:solidFill>
        <a:ln w="12700">
          <a:solidFill>
            <a:srgbClr val="05639E"/>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p>
      </xdr:txBody>
    </xdr:sp>
    <xdr:clientData fLocksWithSheet="0"/>
  </xdr:twoCellAnchor>
  <xdr:twoCellAnchor>
    <xdr:from>
      <xdr:col>6</xdr:col>
      <xdr:colOff>76200</xdr:colOff>
      <xdr:row>21</xdr:row>
      <xdr:rowOff>142875</xdr:rowOff>
    </xdr:from>
    <xdr:to>
      <xdr:col>8</xdr:col>
      <xdr:colOff>57150</xdr:colOff>
      <xdr:row>24</xdr:row>
      <xdr:rowOff>47624</xdr:rowOff>
    </xdr:to>
    <xdr:sp macro="" textlink="" fLocksText="0">
      <xdr:nvSpPr>
        <xdr:cNvPr id="7" name="Rounded Rectangle 6"/>
        <xdr:cNvSpPr/>
      </xdr:nvSpPr>
      <xdr:spPr>
        <a:xfrm>
          <a:off x="4667250" y="4781550"/>
          <a:ext cx="1171575" cy="476249"/>
        </a:xfrm>
        <a:prstGeom prst="roundRect">
          <a:avLst/>
        </a:prstGeom>
        <a:solidFill>
          <a:srgbClr val="05639E">
            <a:alpha val="0"/>
          </a:srgbClr>
        </a:solidFill>
        <a:ln w="12700">
          <a:solidFill>
            <a:srgbClr val="05639E"/>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p>
      </xdr:txBody>
    </xdr:sp>
    <xdr:clientData fLocksWithSheet="0"/>
  </xdr:twoCellAnchor>
  <xdr:twoCellAnchor>
    <xdr:from>
      <xdr:col>1</xdr:col>
      <xdr:colOff>676275</xdr:colOff>
      <xdr:row>17</xdr:row>
      <xdr:rowOff>59532</xdr:rowOff>
    </xdr:from>
    <xdr:to>
      <xdr:col>3</xdr:col>
      <xdr:colOff>561976</xdr:colOff>
      <xdr:row>20</xdr:row>
      <xdr:rowOff>66675</xdr:rowOff>
    </xdr:to>
    <xdr:cxnSp macro="">
      <xdr:nvCxnSpPr>
        <xdr:cNvPr id="8" name="Straight Arrow Connector 7"/>
        <xdr:cNvCxnSpPr>
          <a:stCxn id="3" idx="1"/>
        </xdr:cNvCxnSpPr>
      </xdr:nvCxnSpPr>
      <xdr:spPr>
        <a:xfrm flipH="1">
          <a:off x="1676400" y="3936207"/>
          <a:ext cx="1219201" cy="578643"/>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76200</xdr:colOff>
      <xdr:row>19</xdr:row>
      <xdr:rowOff>38100</xdr:rowOff>
    </xdr:from>
    <xdr:to>
      <xdr:col>5</xdr:col>
      <xdr:colOff>542926</xdr:colOff>
      <xdr:row>21</xdr:row>
      <xdr:rowOff>28575</xdr:rowOff>
    </xdr:to>
    <xdr:cxnSp macro="">
      <xdr:nvCxnSpPr>
        <xdr:cNvPr id="9" name="Straight Arrow Connector 8"/>
        <xdr:cNvCxnSpPr/>
      </xdr:nvCxnSpPr>
      <xdr:spPr>
        <a:xfrm flipH="1">
          <a:off x="3476625" y="4295775"/>
          <a:ext cx="590551" cy="371475"/>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552450</xdr:colOff>
      <xdr:row>19</xdr:row>
      <xdr:rowOff>38100</xdr:rowOff>
    </xdr:from>
    <xdr:to>
      <xdr:col>6</xdr:col>
      <xdr:colOff>104775</xdr:colOff>
      <xdr:row>21</xdr:row>
      <xdr:rowOff>47625</xdr:rowOff>
    </xdr:to>
    <xdr:cxnSp macro="">
      <xdr:nvCxnSpPr>
        <xdr:cNvPr id="10" name="Straight Arrow Connector 9"/>
        <xdr:cNvCxnSpPr/>
      </xdr:nvCxnSpPr>
      <xdr:spPr>
        <a:xfrm>
          <a:off x="4076700" y="4295775"/>
          <a:ext cx="619125" cy="390525"/>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552450</xdr:colOff>
      <xdr:row>19</xdr:row>
      <xdr:rowOff>28575</xdr:rowOff>
    </xdr:from>
    <xdr:to>
      <xdr:col>5</xdr:col>
      <xdr:colOff>552450</xdr:colOff>
      <xdr:row>21</xdr:row>
      <xdr:rowOff>38100</xdr:rowOff>
    </xdr:to>
    <xdr:cxnSp macro="">
      <xdr:nvCxnSpPr>
        <xdr:cNvPr id="11" name="Straight Arrow Connector 10"/>
        <xdr:cNvCxnSpPr/>
      </xdr:nvCxnSpPr>
      <xdr:spPr>
        <a:xfrm>
          <a:off x="4067175" y="4591050"/>
          <a:ext cx="0" cy="333375"/>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638175</xdr:colOff>
      <xdr:row>17</xdr:row>
      <xdr:rowOff>59532</xdr:rowOff>
    </xdr:from>
    <xdr:to>
      <xdr:col>3</xdr:col>
      <xdr:colOff>561976</xdr:colOff>
      <xdr:row>17</xdr:row>
      <xdr:rowOff>66675</xdr:rowOff>
    </xdr:to>
    <xdr:cxnSp macro="">
      <xdr:nvCxnSpPr>
        <xdr:cNvPr id="12" name="Straight Arrow Connector 11"/>
        <xdr:cNvCxnSpPr>
          <a:stCxn id="3" idx="1"/>
        </xdr:cNvCxnSpPr>
      </xdr:nvCxnSpPr>
      <xdr:spPr>
        <a:xfrm flipH="1">
          <a:off x="1638300" y="3936207"/>
          <a:ext cx="1257301" cy="7143"/>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295275</xdr:colOff>
      <xdr:row>19</xdr:row>
      <xdr:rowOff>142875</xdr:rowOff>
    </xdr:from>
    <xdr:to>
      <xdr:col>1</xdr:col>
      <xdr:colOff>647700</xdr:colOff>
      <xdr:row>22</xdr:row>
      <xdr:rowOff>142875</xdr:rowOff>
    </xdr:to>
    <xdr:sp macro="" textlink="" fLocksText="0">
      <xdr:nvSpPr>
        <xdr:cNvPr id="14" name="Rounded Rectangle 13"/>
        <xdr:cNvSpPr/>
      </xdr:nvSpPr>
      <xdr:spPr>
        <a:xfrm>
          <a:off x="295275" y="4962525"/>
          <a:ext cx="1352550" cy="571500"/>
        </a:xfrm>
        <a:prstGeom prst="roundRect">
          <a:avLst/>
        </a:prstGeom>
        <a:solidFill>
          <a:srgbClr val="05639E">
            <a:alpha val="0"/>
          </a:srgbClr>
        </a:solidFill>
        <a:ln w="12700">
          <a:solidFill>
            <a:srgbClr val="92D050"/>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p>
      </xdr:txBody>
    </xdr:sp>
    <xdr:clientData fLocksWithSheet="0"/>
  </xdr:twoCellAnchor>
  <xdr:twoCellAnchor>
    <xdr:from>
      <xdr:col>2</xdr:col>
      <xdr:colOff>361950</xdr:colOff>
      <xdr:row>25</xdr:row>
      <xdr:rowOff>152399</xdr:rowOff>
    </xdr:from>
    <xdr:to>
      <xdr:col>4</xdr:col>
      <xdr:colOff>57150</xdr:colOff>
      <xdr:row>28</xdr:row>
      <xdr:rowOff>9525</xdr:rowOff>
    </xdr:to>
    <xdr:sp macro="" textlink="" fLocksText="0">
      <xdr:nvSpPr>
        <xdr:cNvPr id="15" name="Rounded Rectangle 14"/>
        <xdr:cNvSpPr/>
      </xdr:nvSpPr>
      <xdr:spPr>
        <a:xfrm>
          <a:off x="2286000" y="5553074"/>
          <a:ext cx="1171575" cy="428626"/>
        </a:xfrm>
        <a:prstGeom prst="roundRect">
          <a:avLst/>
        </a:prstGeom>
        <a:solidFill>
          <a:srgbClr val="05639E">
            <a:alpha val="0"/>
          </a:srgbClr>
        </a:solidFill>
        <a:ln w="12700">
          <a:solidFill>
            <a:srgbClr val="C0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p>
      </xdr:txBody>
    </xdr:sp>
    <xdr:clientData fLocksWithSheet="0"/>
  </xdr:twoCellAnchor>
  <xdr:twoCellAnchor>
    <xdr:from>
      <xdr:col>0</xdr:col>
      <xdr:colOff>266700</xdr:colOff>
      <xdr:row>15</xdr:row>
      <xdr:rowOff>142875</xdr:rowOff>
    </xdr:from>
    <xdr:to>
      <xdr:col>1</xdr:col>
      <xdr:colOff>609599</xdr:colOff>
      <xdr:row>18</xdr:row>
      <xdr:rowOff>142875</xdr:rowOff>
    </xdr:to>
    <xdr:sp macro="" textlink="" fLocksText="0">
      <xdr:nvSpPr>
        <xdr:cNvPr id="16" name="Rounded Rectangle 15"/>
        <xdr:cNvSpPr/>
      </xdr:nvSpPr>
      <xdr:spPr>
        <a:xfrm>
          <a:off x="266700" y="4200525"/>
          <a:ext cx="1343024" cy="571500"/>
        </a:xfrm>
        <a:prstGeom prst="roundRect">
          <a:avLst/>
        </a:prstGeom>
        <a:solidFill>
          <a:srgbClr val="05639E">
            <a:alpha val="0"/>
          </a:srgbClr>
        </a:solidFill>
        <a:ln w="12700">
          <a:solidFill>
            <a:srgbClr val="92D050"/>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p>
      </xdr:txBody>
    </xdr:sp>
    <xdr:clientData fLocksWithSheet="0"/>
  </xdr:twoCellAnchor>
  <xdr:twoCellAnchor>
    <xdr:from>
      <xdr:col>4</xdr:col>
      <xdr:colOff>76200</xdr:colOff>
      <xdr:row>25</xdr:row>
      <xdr:rowOff>152400</xdr:rowOff>
    </xdr:from>
    <xdr:to>
      <xdr:col>6</xdr:col>
      <xdr:colOff>57150</xdr:colOff>
      <xdr:row>28</xdr:row>
      <xdr:rowOff>9526</xdr:rowOff>
    </xdr:to>
    <xdr:sp macro="" textlink="" fLocksText="0">
      <xdr:nvSpPr>
        <xdr:cNvPr id="18" name="Rounded Rectangle 17"/>
        <xdr:cNvSpPr/>
      </xdr:nvSpPr>
      <xdr:spPr>
        <a:xfrm>
          <a:off x="3476625" y="5553075"/>
          <a:ext cx="1171575" cy="428626"/>
        </a:xfrm>
        <a:prstGeom prst="roundRect">
          <a:avLst/>
        </a:prstGeom>
        <a:solidFill>
          <a:srgbClr val="05639E">
            <a:alpha val="0"/>
          </a:srgbClr>
        </a:solidFill>
        <a:ln w="12700">
          <a:solidFill>
            <a:srgbClr val="C0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p>
      </xdr:txBody>
    </xdr:sp>
    <xdr:clientData fLocksWithSheet="0"/>
  </xdr:twoCellAnchor>
  <xdr:twoCellAnchor>
    <xdr:from>
      <xdr:col>6</xdr:col>
      <xdr:colOff>85725</xdr:colOff>
      <xdr:row>25</xdr:row>
      <xdr:rowOff>152400</xdr:rowOff>
    </xdr:from>
    <xdr:to>
      <xdr:col>8</xdr:col>
      <xdr:colOff>66675</xdr:colOff>
      <xdr:row>28</xdr:row>
      <xdr:rowOff>9526</xdr:rowOff>
    </xdr:to>
    <xdr:sp macro="" textlink="" fLocksText="0">
      <xdr:nvSpPr>
        <xdr:cNvPr id="19" name="Rounded Rectangle 18"/>
        <xdr:cNvSpPr/>
      </xdr:nvSpPr>
      <xdr:spPr>
        <a:xfrm>
          <a:off x="4676775" y="5553075"/>
          <a:ext cx="1171575" cy="428626"/>
        </a:xfrm>
        <a:prstGeom prst="roundRect">
          <a:avLst/>
        </a:prstGeom>
        <a:solidFill>
          <a:srgbClr val="05639E">
            <a:alpha val="0"/>
          </a:srgbClr>
        </a:solidFill>
        <a:ln w="12700">
          <a:solidFill>
            <a:srgbClr val="C0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p>
      </xdr:txBody>
    </xdr:sp>
    <xdr:clientData fLocksWithSheet="0"/>
  </xdr:twoCellAnchor>
  <xdr:twoCellAnchor>
    <xdr:from>
      <xdr:col>0</xdr:col>
      <xdr:colOff>962025</xdr:colOff>
      <xdr:row>31</xdr:row>
      <xdr:rowOff>9525</xdr:rowOff>
    </xdr:from>
    <xdr:to>
      <xdr:col>1</xdr:col>
      <xdr:colOff>504828</xdr:colOff>
      <xdr:row>31</xdr:row>
      <xdr:rowOff>9525</xdr:rowOff>
    </xdr:to>
    <xdr:cxnSp macro="">
      <xdr:nvCxnSpPr>
        <xdr:cNvPr id="20" name="Straight Arrow Connector 19"/>
        <xdr:cNvCxnSpPr/>
      </xdr:nvCxnSpPr>
      <xdr:spPr>
        <a:xfrm flipH="1">
          <a:off x="962025" y="6553200"/>
          <a:ext cx="542928" cy="0"/>
        </a:xfrm>
        <a:prstGeom prst="straightConnector1">
          <a:avLst/>
        </a:prstGeom>
        <a:ln>
          <a:headEnd type="arrow"/>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962025</xdr:colOff>
      <xdr:row>22</xdr:row>
      <xdr:rowOff>142875</xdr:rowOff>
    </xdr:from>
    <xdr:to>
      <xdr:col>0</xdr:col>
      <xdr:colOff>962026</xdr:colOff>
      <xdr:row>31</xdr:row>
      <xdr:rowOff>9525</xdr:rowOff>
    </xdr:to>
    <xdr:cxnSp macro="">
      <xdr:nvCxnSpPr>
        <xdr:cNvPr id="21" name="Straight Arrow Connector 20"/>
        <xdr:cNvCxnSpPr/>
      </xdr:nvCxnSpPr>
      <xdr:spPr>
        <a:xfrm>
          <a:off x="962025" y="4848225"/>
          <a:ext cx="1" cy="1581150"/>
        </a:xfrm>
        <a:prstGeom prst="straightConnector1">
          <a:avLst/>
        </a:prstGeom>
        <a:ln>
          <a:headEnd type="none"/>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561976</xdr:colOff>
      <xdr:row>45</xdr:row>
      <xdr:rowOff>95250</xdr:rowOff>
    </xdr:from>
    <xdr:to>
      <xdr:col>7</xdr:col>
      <xdr:colOff>466725</xdr:colOff>
      <xdr:row>49</xdr:row>
      <xdr:rowOff>23813</xdr:rowOff>
    </xdr:to>
    <xdr:sp macro="" textlink="" fLocksText="0">
      <xdr:nvSpPr>
        <xdr:cNvPr id="22" name="Rounded Rectangle 21"/>
        <xdr:cNvSpPr/>
      </xdr:nvSpPr>
      <xdr:spPr>
        <a:xfrm>
          <a:off x="2895601" y="4105275"/>
          <a:ext cx="2285999" cy="690563"/>
        </a:xfrm>
        <a:prstGeom prst="roundRect">
          <a:avLst/>
        </a:prstGeom>
        <a:solidFill>
          <a:srgbClr val="05639E">
            <a:alpha val="0"/>
          </a:srgbClr>
        </a:solidFill>
        <a:ln w="12700">
          <a:solidFill>
            <a:srgbClr val="05639E"/>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p>
      </xdr:txBody>
    </xdr:sp>
    <xdr:clientData fLocksWithSheet="0"/>
  </xdr:twoCellAnchor>
  <xdr:twoCellAnchor>
    <xdr:from>
      <xdr:col>2</xdr:col>
      <xdr:colOff>314325</xdr:colOff>
      <xdr:row>51</xdr:row>
      <xdr:rowOff>133351</xdr:rowOff>
    </xdr:from>
    <xdr:to>
      <xdr:col>4</xdr:col>
      <xdr:colOff>57150</xdr:colOff>
      <xdr:row>54</xdr:row>
      <xdr:rowOff>38100</xdr:rowOff>
    </xdr:to>
    <xdr:sp macro="" textlink="" fLocksText="0">
      <xdr:nvSpPr>
        <xdr:cNvPr id="23" name="Rounded Rectangle 22"/>
        <xdr:cNvSpPr/>
      </xdr:nvSpPr>
      <xdr:spPr>
        <a:xfrm>
          <a:off x="2238375" y="5286376"/>
          <a:ext cx="1219200" cy="476249"/>
        </a:xfrm>
        <a:prstGeom prst="roundRect">
          <a:avLst/>
        </a:prstGeom>
        <a:solidFill>
          <a:srgbClr val="05639E">
            <a:alpha val="0"/>
          </a:srgbClr>
        </a:solidFill>
        <a:ln w="12700">
          <a:solidFill>
            <a:srgbClr val="05639E"/>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p>
      </xdr:txBody>
    </xdr:sp>
    <xdr:clientData fLocksWithSheet="0"/>
  </xdr:twoCellAnchor>
  <xdr:twoCellAnchor>
    <xdr:from>
      <xdr:col>4</xdr:col>
      <xdr:colOff>76200</xdr:colOff>
      <xdr:row>51</xdr:row>
      <xdr:rowOff>133350</xdr:rowOff>
    </xdr:from>
    <xdr:to>
      <xdr:col>6</xdr:col>
      <xdr:colOff>57150</xdr:colOff>
      <xdr:row>54</xdr:row>
      <xdr:rowOff>38099</xdr:rowOff>
    </xdr:to>
    <xdr:sp macro="" textlink="" fLocksText="0">
      <xdr:nvSpPr>
        <xdr:cNvPr id="24" name="Rounded Rectangle 23"/>
        <xdr:cNvSpPr/>
      </xdr:nvSpPr>
      <xdr:spPr>
        <a:xfrm>
          <a:off x="3476625" y="5286375"/>
          <a:ext cx="1171575" cy="476249"/>
        </a:xfrm>
        <a:prstGeom prst="roundRect">
          <a:avLst/>
        </a:prstGeom>
        <a:solidFill>
          <a:srgbClr val="05639E">
            <a:alpha val="0"/>
          </a:srgbClr>
        </a:solidFill>
        <a:ln w="12700">
          <a:solidFill>
            <a:srgbClr val="05639E"/>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p>
      </xdr:txBody>
    </xdr:sp>
    <xdr:clientData fLocksWithSheet="0"/>
  </xdr:twoCellAnchor>
  <xdr:twoCellAnchor>
    <xdr:from>
      <xdr:col>1</xdr:col>
      <xdr:colOff>542925</xdr:colOff>
      <xdr:row>59</xdr:row>
      <xdr:rowOff>142875</xdr:rowOff>
    </xdr:from>
    <xdr:to>
      <xdr:col>9</xdr:col>
      <xdr:colOff>495300</xdr:colOff>
      <xdr:row>62</xdr:row>
      <xdr:rowOff>85725</xdr:rowOff>
    </xdr:to>
    <xdr:sp macro="" textlink="" fLocksText="0">
      <xdr:nvSpPr>
        <xdr:cNvPr id="25" name="Rounded Rectangle 24"/>
        <xdr:cNvSpPr/>
      </xdr:nvSpPr>
      <xdr:spPr>
        <a:xfrm>
          <a:off x="1543050" y="6819900"/>
          <a:ext cx="4857750" cy="514350"/>
        </a:xfrm>
        <a:prstGeom prst="roundRect">
          <a:avLst/>
        </a:prstGeom>
        <a:solidFill>
          <a:srgbClr val="05639E">
            <a:alpha val="0"/>
          </a:srgbClr>
        </a:solidFill>
        <a:ln w="12700">
          <a:solidFill>
            <a:srgbClr val="05639E"/>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p>
      </xdr:txBody>
    </xdr:sp>
    <xdr:clientData fLocksWithSheet="0"/>
  </xdr:twoCellAnchor>
  <xdr:twoCellAnchor>
    <xdr:from>
      <xdr:col>6</xdr:col>
      <xdr:colOff>76200</xdr:colOff>
      <xdr:row>51</xdr:row>
      <xdr:rowOff>142875</xdr:rowOff>
    </xdr:from>
    <xdr:to>
      <xdr:col>8</xdr:col>
      <xdr:colOff>57150</xdr:colOff>
      <xdr:row>54</xdr:row>
      <xdr:rowOff>47624</xdr:rowOff>
    </xdr:to>
    <xdr:sp macro="" textlink="" fLocksText="0">
      <xdr:nvSpPr>
        <xdr:cNvPr id="26" name="Rounded Rectangle 25"/>
        <xdr:cNvSpPr/>
      </xdr:nvSpPr>
      <xdr:spPr>
        <a:xfrm>
          <a:off x="4667250" y="5295900"/>
          <a:ext cx="1171575" cy="476249"/>
        </a:xfrm>
        <a:prstGeom prst="roundRect">
          <a:avLst/>
        </a:prstGeom>
        <a:solidFill>
          <a:srgbClr val="05639E">
            <a:alpha val="0"/>
          </a:srgbClr>
        </a:solidFill>
        <a:ln w="12700">
          <a:solidFill>
            <a:srgbClr val="05639E"/>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p>
      </xdr:txBody>
    </xdr:sp>
    <xdr:clientData fLocksWithSheet="0"/>
  </xdr:twoCellAnchor>
  <xdr:twoCellAnchor>
    <xdr:from>
      <xdr:col>1</xdr:col>
      <xdr:colOff>676275</xdr:colOff>
      <xdr:row>47</xdr:row>
      <xdr:rowOff>59532</xdr:rowOff>
    </xdr:from>
    <xdr:to>
      <xdr:col>3</xdr:col>
      <xdr:colOff>561976</xdr:colOff>
      <xdr:row>50</xdr:row>
      <xdr:rowOff>66675</xdr:rowOff>
    </xdr:to>
    <xdr:cxnSp macro="">
      <xdr:nvCxnSpPr>
        <xdr:cNvPr id="27" name="Straight Arrow Connector 26"/>
        <xdr:cNvCxnSpPr>
          <a:stCxn id="22" idx="1"/>
        </xdr:cNvCxnSpPr>
      </xdr:nvCxnSpPr>
      <xdr:spPr>
        <a:xfrm flipH="1">
          <a:off x="1676400" y="4450557"/>
          <a:ext cx="1219201" cy="578643"/>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76200</xdr:colOff>
      <xdr:row>49</xdr:row>
      <xdr:rowOff>38100</xdr:rowOff>
    </xdr:from>
    <xdr:to>
      <xdr:col>5</xdr:col>
      <xdr:colOff>542926</xdr:colOff>
      <xdr:row>51</xdr:row>
      <xdr:rowOff>28575</xdr:rowOff>
    </xdr:to>
    <xdr:cxnSp macro="">
      <xdr:nvCxnSpPr>
        <xdr:cNvPr id="28" name="Straight Arrow Connector 27"/>
        <xdr:cNvCxnSpPr/>
      </xdr:nvCxnSpPr>
      <xdr:spPr>
        <a:xfrm flipH="1">
          <a:off x="3476625" y="4810125"/>
          <a:ext cx="590551" cy="371475"/>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552450</xdr:colOff>
      <xdr:row>49</xdr:row>
      <xdr:rowOff>38100</xdr:rowOff>
    </xdr:from>
    <xdr:to>
      <xdr:col>6</xdr:col>
      <xdr:colOff>104775</xdr:colOff>
      <xdr:row>51</xdr:row>
      <xdr:rowOff>47625</xdr:rowOff>
    </xdr:to>
    <xdr:cxnSp macro="">
      <xdr:nvCxnSpPr>
        <xdr:cNvPr id="29" name="Straight Arrow Connector 28"/>
        <xdr:cNvCxnSpPr/>
      </xdr:nvCxnSpPr>
      <xdr:spPr>
        <a:xfrm>
          <a:off x="4076700" y="4810125"/>
          <a:ext cx="619125" cy="390525"/>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552450</xdr:colOff>
      <xdr:row>49</xdr:row>
      <xdr:rowOff>28575</xdr:rowOff>
    </xdr:from>
    <xdr:to>
      <xdr:col>5</xdr:col>
      <xdr:colOff>552450</xdr:colOff>
      <xdr:row>51</xdr:row>
      <xdr:rowOff>38100</xdr:rowOff>
    </xdr:to>
    <xdr:cxnSp macro="">
      <xdr:nvCxnSpPr>
        <xdr:cNvPr id="30" name="Straight Arrow Connector 29"/>
        <xdr:cNvCxnSpPr/>
      </xdr:nvCxnSpPr>
      <xdr:spPr>
        <a:xfrm>
          <a:off x="4076700" y="4800600"/>
          <a:ext cx="0" cy="390525"/>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638175</xdr:colOff>
      <xdr:row>47</xdr:row>
      <xdr:rowOff>59532</xdr:rowOff>
    </xdr:from>
    <xdr:to>
      <xdr:col>3</xdr:col>
      <xdr:colOff>561976</xdr:colOff>
      <xdr:row>47</xdr:row>
      <xdr:rowOff>66675</xdr:rowOff>
    </xdr:to>
    <xdr:cxnSp macro="">
      <xdr:nvCxnSpPr>
        <xdr:cNvPr id="31" name="Straight Arrow Connector 30"/>
        <xdr:cNvCxnSpPr>
          <a:stCxn id="22" idx="1"/>
        </xdr:cNvCxnSpPr>
      </xdr:nvCxnSpPr>
      <xdr:spPr>
        <a:xfrm flipH="1">
          <a:off x="1638300" y="4450557"/>
          <a:ext cx="1257301" cy="7143"/>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295275</xdr:colOff>
      <xdr:row>49</xdr:row>
      <xdr:rowOff>142875</xdr:rowOff>
    </xdr:from>
    <xdr:to>
      <xdr:col>1</xdr:col>
      <xdr:colOff>647700</xdr:colOff>
      <xdr:row>52</xdr:row>
      <xdr:rowOff>142875</xdr:rowOff>
    </xdr:to>
    <xdr:sp macro="" textlink="" fLocksText="0">
      <xdr:nvSpPr>
        <xdr:cNvPr id="32" name="Rounded Rectangle 31"/>
        <xdr:cNvSpPr/>
      </xdr:nvSpPr>
      <xdr:spPr>
        <a:xfrm>
          <a:off x="295275" y="4914900"/>
          <a:ext cx="1352550" cy="571500"/>
        </a:xfrm>
        <a:prstGeom prst="roundRect">
          <a:avLst/>
        </a:prstGeom>
        <a:solidFill>
          <a:srgbClr val="05639E">
            <a:alpha val="0"/>
          </a:srgbClr>
        </a:solidFill>
        <a:ln w="12700">
          <a:solidFill>
            <a:srgbClr val="92D050"/>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p>
      </xdr:txBody>
    </xdr:sp>
    <xdr:clientData fLocksWithSheet="0"/>
  </xdr:twoCellAnchor>
  <xdr:twoCellAnchor>
    <xdr:from>
      <xdr:col>2</xdr:col>
      <xdr:colOff>361950</xdr:colOff>
      <xdr:row>55</xdr:row>
      <xdr:rowOff>152399</xdr:rowOff>
    </xdr:from>
    <xdr:to>
      <xdr:col>4</xdr:col>
      <xdr:colOff>57150</xdr:colOff>
      <xdr:row>58</xdr:row>
      <xdr:rowOff>9525</xdr:rowOff>
    </xdr:to>
    <xdr:sp macro="" textlink="" fLocksText="0">
      <xdr:nvSpPr>
        <xdr:cNvPr id="33" name="Rounded Rectangle 32"/>
        <xdr:cNvSpPr/>
      </xdr:nvSpPr>
      <xdr:spPr>
        <a:xfrm>
          <a:off x="2286000" y="6067424"/>
          <a:ext cx="1171575" cy="428626"/>
        </a:xfrm>
        <a:prstGeom prst="roundRect">
          <a:avLst/>
        </a:prstGeom>
        <a:solidFill>
          <a:srgbClr val="05639E">
            <a:alpha val="0"/>
          </a:srgbClr>
        </a:solidFill>
        <a:ln w="12700">
          <a:solidFill>
            <a:srgbClr val="C0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p>
      </xdr:txBody>
    </xdr:sp>
    <xdr:clientData fLocksWithSheet="0"/>
  </xdr:twoCellAnchor>
  <xdr:twoCellAnchor>
    <xdr:from>
      <xdr:col>0</xdr:col>
      <xdr:colOff>266700</xdr:colOff>
      <xdr:row>45</xdr:row>
      <xdr:rowOff>142875</xdr:rowOff>
    </xdr:from>
    <xdr:to>
      <xdr:col>1</xdr:col>
      <xdr:colOff>609599</xdr:colOff>
      <xdr:row>48</xdr:row>
      <xdr:rowOff>142875</xdr:rowOff>
    </xdr:to>
    <xdr:sp macro="" textlink="" fLocksText="0">
      <xdr:nvSpPr>
        <xdr:cNvPr id="34" name="Rounded Rectangle 33"/>
        <xdr:cNvSpPr/>
      </xdr:nvSpPr>
      <xdr:spPr>
        <a:xfrm>
          <a:off x="266700" y="4152900"/>
          <a:ext cx="1343024" cy="571500"/>
        </a:xfrm>
        <a:prstGeom prst="roundRect">
          <a:avLst/>
        </a:prstGeom>
        <a:solidFill>
          <a:srgbClr val="05639E">
            <a:alpha val="0"/>
          </a:srgbClr>
        </a:solidFill>
        <a:ln w="12700">
          <a:solidFill>
            <a:srgbClr val="92D050"/>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p>
      </xdr:txBody>
    </xdr:sp>
    <xdr:clientData fLocksWithSheet="0"/>
  </xdr:twoCellAnchor>
  <xdr:twoCellAnchor>
    <xdr:from>
      <xdr:col>4</xdr:col>
      <xdr:colOff>76200</xdr:colOff>
      <xdr:row>55</xdr:row>
      <xdr:rowOff>152400</xdr:rowOff>
    </xdr:from>
    <xdr:to>
      <xdr:col>6</xdr:col>
      <xdr:colOff>57150</xdr:colOff>
      <xdr:row>58</xdr:row>
      <xdr:rowOff>9526</xdr:rowOff>
    </xdr:to>
    <xdr:sp macro="" textlink="" fLocksText="0">
      <xdr:nvSpPr>
        <xdr:cNvPr id="35" name="Rounded Rectangle 34"/>
        <xdr:cNvSpPr/>
      </xdr:nvSpPr>
      <xdr:spPr>
        <a:xfrm>
          <a:off x="3476625" y="6067425"/>
          <a:ext cx="1171575" cy="428626"/>
        </a:xfrm>
        <a:prstGeom prst="roundRect">
          <a:avLst/>
        </a:prstGeom>
        <a:solidFill>
          <a:srgbClr val="05639E">
            <a:alpha val="0"/>
          </a:srgbClr>
        </a:solidFill>
        <a:ln w="12700">
          <a:solidFill>
            <a:srgbClr val="C0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p>
      </xdr:txBody>
    </xdr:sp>
    <xdr:clientData fLocksWithSheet="0"/>
  </xdr:twoCellAnchor>
  <xdr:twoCellAnchor>
    <xdr:from>
      <xdr:col>6</xdr:col>
      <xdr:colOff>85725</xdr:colOff>
      <xdr:row>55</xdr:row>
      <xdr:rowOff>152400</xdr:rowOff>
    </xdr:from>
    <xdr:to>
      <xdr:col>8</xdr:col>
      <xdr:colOff>66675</xdr:colOff>
      <xdr:row>58</xdr:row>
      <xdr:rowOff>9526</xdr:rowOff>
    </xdr:to>
    <xdr:sp macro="" textlink="" fLocksText="0">
      <xdr:nvSpPr>
        <xdr:cNvPr id="36" name="Rounded Rectangle 35"/>
        <xdr:cNvSpPr/>
      </xdr:nvSpPr>
      <xdr:spPr>
        <a:xfrm>
          <a:off x="4676775" y="6067425"/>
          <a:ext cx="1171575" cy="428626"/>
        </a:xfrm>
        <a:prstGeom prst="roundRect">
          <a:avLst/>
        </a:prstGeom>
        <a:solidFill>
          <a:srgbClr val="05639E">
            <a:alpha val="0"/>
          </a:srgbClr>
        </a:solidFill>
        <a:ln w="12700">
          <a:solidFill>
            <a:srgbClr val="C0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p>
      </xdr:txBody>
    </xdr:sp>
    <xdr:clientData fLocksWithSheet="0"/>
  </xdr:twoCellAnchor>
  <xdr:twoCellAnchor>
    <xdr:from>
      <xdr:col>0</xdr:col>
      <xdr:colOff>962025</xdr:colOff>
      <xdr:row>61</xdr:row>
      <xdr:rowOff>9525</xdr:rowOff>
    </xdr:from>
    <xdr:to>
      <xdr:col>1</xdr:col>
      <xdr:colOff>504828</xdr:colOff>
      <xdr:row>61</xdr:row>
      <xdr:rowOff>9525</xdr:rowOff>
    </xdr:to>
    <xdr:cxnSp macro="">
      <xdr:nvCxnSpPr>
        <xdr:cNvPr id="37" name="Straight Arrow Connector 36"/>
        <xdr:cNvCxnSpPr/>
      </xdr:nvCxnSpPr>
      <xdr:spPr>
        <a:xfrm flipH="1">
          <a:off x="962025" y="7067550"/>
          <a:ext cx="542928" cy="0"/>
        </a:xfrm>
        <a:prstGeom prst="straightConnector1">
          <a:avLst/>
        </a:prstGeom>
        <a:ln>
          <a:headEnd type="arrow"/>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962025</xdr:colOff>
      <xdr:row>52</xdr:row>
      <xdr:rowOff>142875</xdr:rowOff>
    </xdr:from>
    <xdr:to>
      <xdr:col>0</xdr:col>
      <xdr:colOff>962026</xdr:colOff>
      <xdr:row>61</xdr:row>
      <xdr:rowOff>9525</xdr:rowOff>
    </xdr:to>
    <xdr:cxnSp macro="">
      <xdr:nvCxnSpPr>
        <xdr:cNvPr id="38" name="Straight Arrow Connector 37"/>
        <xdr:cNvCxnSpPr/>
      </xdr:nvCxnSpPr>
      <xdr:spPr>
        <a:xfrm>
          <a:off x="962025" y="5486400"/>
          <a:ext cx="1" cy="1581150"/>
        </a:xfrm>
        <a:prstGeom prst="straightConnector1">
          <a:avLst/>
        </a:prstGeom>
        <a:ln>
          <a:headEnd type="none"/>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561976</xdr:colOff>
      <xdr:row>68</xdr:row>
      <xdr:rowOff>95250</xdr:rowOff>
    </xdr:from>
    <xdr:to>
      <xdr:col>7</xdr:col>
      <xdr:colOff>466725</xdr:colOff>
      <xdr:row>72</xdr:row>
      <xdr:rowOff>23813</xdr:rowOff>
    </xdr:to>
    <xdr:sp macro="" textlink="" fLocksText="0">
      <xdr:nvSpPr>
        <xdr:cNvPr id="39" name="Rounded Rectangle 38"/>
        <xdr:cNvSpPr/>
      </xdr:nvSpPr>
      <xdr:spPr>
        <a:xfrm>
          <a:off x="2895601" y="4105275"/>
          <a:ext cx="2285999" cy="690563"/>
        </a:xfrm>
        <a:prstGeom prst="roundRect">
          <a:avLst/>
        </a:prstGeom>
        <a:solidFill>
          <a:srgbClr val="05639E">
            <a:alpha val="0"/>
          </a:srgbClr>
        </a:solidFill>
        <a:ln w="12700">
          <a:solidFill>
            <a:srgbClr val="05639E"/>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p>
      </xdr:txBody>
    </xdr:sp>
    <xdr:clientData fLocksWithSheet="0"/>
  </xdr:twoCellAnchor>
  <xdr:twoCellAnchor>
    <xdr:from>
      <xdr:col>2</xdr:col>
      <xdr:colOff>314325</xdr:colOff>
      <xdr:row>74</xdr:row>
      <xdr:rowOff>133351</xdr:rowOff>
    </xdr:from>
    <xdr:to>
      <xdr:col>4</xdr:col>
      <xdr:colOff>57150</xdr:colOff>
      <xdr:row>77</xdr:row>
      <xdr:rowOff>38100</xdr:rowOff>
    </xdr:to>
    <xdr:sp macro="" textlink="" fLocksText="0">
      <xdr:nvSpPr>
        <xdr:cNvPr id="40" name="Rounded Rectangle 39"/>
        <xdr:cNvSpPr/>
      </xdr:nvSpPr>
      <xdr:spPr>
        <a:xfrm>
          <a:off x="2238375" y="5286376"/>
          <a:ext cx="1219200" cy="476249"/>
        </a:xfrm>
        <a:prstGeom prst="roundRect">
          <a:avLst/>
        </a:prstGeom>
        <a:solidFill>
          <a:srgbClr val="05639E">
            <a:alpha val="0"/>
          </a:srgbClr>
        </a:solidFill>
        <a:ln w="12700">
          <a:solidFill>
            <a:srgbClr val="05639E"/>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p>
      </xdr:txBody>
    </xdr:sp>
    <xdr:clientData fLocksWithSheet="0"/>
  </xdr:twoCellAnchor>
  <xdr:twoCellAnchor>
    <xdr:from>
      <xdr:col>4</xdr:col>
      <xdr:colOff>76200</xdr:colOff>
      <xdr:row>74</xdr:row>
      <xdr:rowOff>133350</xdr:rowOff>
    </xdr:from>
    <xdr:to>
      <xdr:col>6</xdr:col>
      <xdr:colOff>57150</xdr:colOff>
      <xdr:row>77</xdr:row>
      <xdr:rowOff>38099</xdr:rowOff>
    </xdr:to>
    <xdr:sp macro="" textlink="" fLocksText="0">
      <xdr:nvSpPr>
        <xdr:cNvPr id="41" name="Rounded Rectangle 40"/>
        <xdr:cNvSpPr/>
      </xdr:nvSpPr>
      <xdr:spPr>
        <a:xfrm>
          <a:off x="3476625" y="5286375"/>
          <a:ext cx="1171575" cy="476249"/>
        </a:xfrm>
        <a:prstGeom prst="roundRect">
          <a:avLst/>
        </a:prstGeom>
        <a:solidFill>
          <a:srgbClr val="05639E">
            <a:alpha val="0"/>
          </a:srgbClr>
        </a:solidFill>
        <a:ln w="12700">
          <a:solidFill>
            <a:srgbClr val="05639E"/>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p>
      </xdr:txBody>
    </xdr:sp>
    <xdr:clientData fLocksWithSheet="0"/>
  </xdr:twoCellAnchor>
  <xdr:twoCellAnchor>
    <xdr:from>
      <xdr:col>1</xdr:col>
      <xdr:colOff>542925</xdr:colOff>
      <xdr:row>82</xdr:row>
      <xdr:rowOff>142875</xdr:rowOff>
    </xdr:from>
    <xdr:to>
      <xdr:col>9</xdr:col>
      <xdr:colOff>495300</xdr:colOff>
      <xdr:row>85</xdr:row>
      <xdr:rowOff>85725</xdr:rowOff>
    </xdr:to>
    <xdr:sp macro="" textlink="" fLocksText="0">
      <xdr:nvSpPr>
        <xdr:cNvPr id="42" name="Rounded Rectangle 41"/>
        <xdr:cNvSpPr/>
      </xdr:nvSpPr>
      <xdr:spPr>
        <a:xfrm>
          <a:off x="1543050" y="6819900"/>
          <a:ext cx="4857750" cy="514350"/>
        </a:xfrm>
        <a:prstGeom prst="roundRect">
          <a:avLst/>
        </a:prstGeom>
        <a:solidFill>
          <a:srgbClr val="05639E">
            <a:alpha val="0"/>
          </a:srgbClr>
        </a:solidFill>
        <a:ln w="12700">
          <a:solidFill>
            <a:srgbClr val="05639E"/>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p>
      </xdr:txBody>
    </xdr:sp>
    <xdr:clientData fLocksWithSheet="0"/>
  </xdr:twoCellAnchor>
  <xdr:twoCellAnchor>
    <xdr:from>
      <xdr:col>6</xdr:col>
      <xdr:colOff>76200</xdr:colOff>
      <xdr:row>74</xdr:row>
      <xdr:rowOff>142875</xdr:rowOff>
    </xdr:from>
    <xdr:to>
      <xdr:col>8</xdr:col>
      <xdr:colOff>57150</xdr:colOff>
      <xdr:row>77</xdr:row>
      <xdr:rowOff>47624</xdr:rowOff>
    </xdr:to>
    <xdr:sp macro="" textlink="" fLocksText="0">
      <xdr:nvSpPr>
        <xdr:cNvPr id="43" name="Rounded Rectangle 42"/>
        <xdr:cNvSpPr/>
      </xdr:nvSpPr>
      <xdr:spPr>
        <a:xfrm>
          <a:off x="4667250" y="5295900"/>
          <a:ext cx="1171575" cy="476249"/>
        </a:xfrm>
        <a:prstGeom prst="roundRect">
          <a:avLst/>
        </a:prstGeom>
        <a:solidFill>
          <a:srgbClr val="05639E">
            <a:alpha val="0"/>
          </a:srgbClr>
        </a:solidFill>
        <a:ln w="12700">
          <a:solidFill>
            <a:srgbClr val="05639E"/>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p>
      </xdr:txBody>
    </xdr:sp>
    <xdr:clientData fLocksWithSheet="0"/>
  </xdr:twoCellAnchor>
  <xdr:twoCellAnchor>
    <xdr:from>
      <xdr:col>1</xdr:col>
      <xdr:colOff>676275</xdr:colOff>
      <xdr:row>70</xdr:row>
      <xdr:rowOff>59532</xdr:rowOff>
    </xdr:from>
    <xdr:to>
      <xdr:col>3</xdr:col>
      <xdr:colOff>561976</xdr:colOff>
      <xdr:row>73</xdr:row>
      <xdr:rowOff>66675</xdr:rowOff>
    </xdr:to>
    <xdr:cxnSp macro="">
      <xdr:nvCxnSpPr>
        <xdr:cNvPr id="44" name="Straight Arrow Connector 43"/>
        <xdr:cNvCxnSpPr>
          <a:stCxn id="39" idx="1"/>
        </xdr:cNvCxnSpPr>
      </xdr:nvCxnSpPr>
      <xdr:spPr>
        <a:xfrm flipH="1">
          <a:off x="1676400" y="4450557"/>
          <a:ext cx="1219201" cy="578643"/>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76200</xdr:colOff>
      <xdr:row>72</xdr:row>
      <xdr:rowOff>38100</xdr:rowOff>
    </xdr:from>
    <xdr:to>
      <xdr:col>5</xdr:col>
      <xdr:colOff>542926</xdr:colOff>
      <xdr:row>74</xdr:row>
      <xdr:rowOff>28575</xdr:rowOff>
    </xdr:to>
    <xdr:cxnSp macro="">
      <xdr:nvCxnSpPr>
        <xdr:cNvPr id="45" name="Straight Arrow Connector 44"/>
        <xdr:cNvCxnSpPr/>
      </xdr:nvCxnSpPr>
      <xdr:spPr>
        <a:xfrm flipH="1">
          <a:off x="3476625" y="4810125"/>
          <a:ext cx="590551" cy="371475"/>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552450</xdr:colOff>
      <xdr:row>72</xdr:row>
      <xdr:rowOff>38100</xdr:rowOff>
    </xdr:from>
    <xdr:to>
      <xdr:col>6</xdr:col>
      <xdr:colOff>104775</xdr:colOff>
      <xdr:row>74</xdr:row>
      <xdr:rowOff>47625</xdr:rowOff>
    </xdr:to>
    <xdr:cxnSp macro="">
      <xdr:nvCxnSpPr>
        <xdr:cNvPr id="46" name="Straight Arrow Connector 45"/>
        <xdr:cNvCxnSpPr/>
      </xdr:nvCxnSpPr>
      <xdr:spPr>
        <a:xfrm>
          <a:off x="4076700" y="4810125"/>
          <a:ext cx="619125" cy="390525"/>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552450</xdr:colOff>
      <xdr:row>72</xdr:row>
      <xdr:rowOff>28575</xdr:rowOff>
    </xdr:from>
    <xdr:to>
      <xdr:col>5</xdr:col>
      <xdr:colOff>552450</xdr:colOff>
      <xdr:row>74</xdr:row>
      <xdr:rowOff>38100</xdr:rowOff>
    </xdr:to>
    <xdr:cxnSp macro="">
      <xdr:nvCxnSpPr>
        <xdr:cNvPr id="47" name="Straight Arrow Connector 46"/>
        <xdr:cNvCxnSpPr/>
      </xdr:nvCxnSpPr>
      <xdr:spPr>
        <a:xfrm>
          <a:off x="4076700" y="4800600"/>
          <a:ext cx="0" cy="390525"/>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638175</xdr:colOff>
      <xdr:row>70</xdr:row>
      <xdr:rowOff>59532</xdr:rowOff>
    </xdr:from>
    <xdr:to>
      <xdr:col>3</xdr:col>
      <xdr:colOff>561976</xdr:colOff>
      <xdr:row>70</xdr:row>
      <xdr:rowOff>66675</xdr:rowOff>
    </xdr:to>
    <xdr:cxnSp macro="">
      <xdr:nvCxnSpPr>
        <xdr:cNvPr id="48" name="Straight Arrow Connector 47"/>
        <xdr:cNvCxnSpPr>
          <a:stCxn id="39" idx="1"/>
        </xdr:cNvCxnSpPr>
      </xdr:nvCxnSpPr>
      <xdr:spPr>
        <a:xfrm flipH="1">
          <a:off x="1638300" y="4450557"/>
          <a:ext cx="1257301" cy="7143"/>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295275</xdr:colOff>
      <xdr:row>72</xdr:row>
      <xdr:rowOff>142875</xdr:rowOff>
    </xdr:from>
    <xdr:to>
      <xdr:col>1</xdr:col>
      <xdr:colOff>647700</xdr:colOff>
      <xdr:row>75</xdr:row>
      <xdr:rowOff>142875</xdr:rowOff>
    </xdr:to>
    <xdr:sp macro="" textlink="" fLocksText="0">
      <xdr:nvSpPr>
        <xdr:cNvPr id="49" name="Rounded Rectangle 48"/>
        <xdr:cNvSpPr/>
      </xdr:nvSpPr>
      <xdr:spPr>
        <a:xfrm>
          <a:off x="295275" y="4914900"/>
          <a:ext cx="1352550" cy="571500"/>
        </a:xfrm>
        <a:prstGeom prst="roundRect">
          <a:avLst/>
        </a:prstGeom>
        <a:solidFill>
          <a:srgbClr val="05639E">
            <a:alpha val="0"/>
          </a:srgbClr>
        </a:solidFill>
        <a:ln w="12700">
          <a:solidFill>
            <a:srgbClr val="92D050"/>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p>
      </xdr:txBody>
    </xdr:sp>
    <xdr:clientData fLocksWithSheet="0"/>
  </xdr:twoCellAnchor>
  <xdr:twoCellAnchor>
    <xdr:from>
      <xdr:col>2</xdr:col>
      <xdr:colOff>361950</xdr:colOff>
      <xdr:row>78</xdr:row>
      <xdr:rowOff>152399</xdr:rowOff>
    </xdr:from>
    <xdr:to>
      <xdr:col>4</xdr:col>
      <xdr:colOff>57150</xdr:colOff>
      <xdr:row>81</xdr:row>
      <xdr:rowOff>9525</xdr:rowOff>
    </xdr:to>
    <xdr:sp macro="" textlink="" fLocksText="0">
      <xdr:nvSpPr>
        <xdr:cNvPr id="50" name="Rounded Rectangle 49"/>
        <xdr:cNvSpPr/>
      </xdr:nvSpPr>
      <xdr:spPr>
        <a:xfrm>
          <a:off x="2286000" y="6067424"/>
          <a:ext cx="1171575" cy="428626"/>
        </a:xfrm>
        <a:prstGeom prst="roundRect">
          <a:avLst/>
        </a:prstGeom>
        <a:solidFill>
          <a:srgbClr val="05639E">
            <a:alpha val="0"/>
          </a:srgbClr>
        </a:solidFill>
        <a:ln w="12700">
          <a:solidFill>
            <a:srgbClr val="C0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p>
      </xdr:txBody>
    </xdr:sp>
    <xdr:clientData fLocksWithSheet="0"/>
  </xdr:twoCellAnchor>
  <xdr:twoCellAnchor>
    <xdr:from>
      <xdr:col>0</xdr:col>
      <xdr:colOff>266700</xdr:colOff>
      <xdr:row>68</xdr:row>
      <xdr:rowOff>142875</xdr:rowOff>
    </xdr:from>
    <xdr:to>
      <xdr:col>1</xdr:col>
      <xdr:colOff>609599</xdr:colOff>
      <xdr:row>71</xdr:row>
      <xdr:rowOff>142875</xdr:rowOff>
    </xdr:to>
    <xdr:sp macro="" textlink="" fLocksText="0">
      <xdr:nvSpPr>
        <xdr:cNvPr id="51" name="Rounded Rectangle 50"/>
        <xdr:cNvSpPr/>
      </xdr:nvSpPr>
      <xdr:spPr>
        <a:xfrm>
          <a:off x="266700" y="4152900"/>
          <a:ext cx="1343024" cy="571500"/>
        </a:xfrm>
        <a:prstGeom prst="roundRect">
          <a:avLst/>
        </a:prstGeom>
        <a:solidFill>
          <a:srgbClr val="05639E">
            <a:alpha val="0"/>
          </a:srgbClr>
        </a:solidFill>
        <a:ln w="12700">
          <a:solidFill>
            <a:srgbClr val="92D050"/>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p>
      </xdr:txBody>
    </xdr:sp>
    <xdr:clientData fLocksWithSheet="0"/>
  </xdr:twoCellAnchor>
  <xdr:twoCellAnchor>
    <xdr:from>
      <xdr:col>4</xdr:col>
      <xdr:colOff>76200</xdr:colOff>
      <xdr:row>78</xdr:row>
      <xdr:rowOff>152400</xdr:rowOff>
    </xdr:from>
    <xdr:to>
      <xdr:col>6</xdr:col>
      <xdr:colOff>57150</xdr:colOff>
      <xdr:row>81</xdr:row>
      <xdr:rowOff>9526</xdr:rowOff>
    </xdr:to>
    <xdr:sp macro="" textlink="" fLocksText="0">
      <xdr:nvSpPr>
        <xdr:cNvPr id="52" name="Rounded Rectangle 51"/>
        <xdr:cNvSpPr/>
      </xdr:nvSpPr>
      <xdr:spPr>
        <a:xfrm>
          <a:off x="3476625" y="6067425"/>
          <a:ext cx="1171575" cy="428626"/>
        </a:xfrm>
        <a:prstGeom prst="roundRect">
          <a:avLst/>
        </a:prstGeom>
        <a:solidFill>
          <a:srgbClr val="05639E">
            <a:alpha val="0"/>
          </a:srgbClr>
        </a:solidFill>
        <a:ln w="12700">
          <a:solidFill>
            <a:srgbClr val="C0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p>
      </xdr:txBody>
    </xdr:sp>
    <xdr:clientData fLocksWithSheet="0"/>
  </xdr:twoCellAnchor>
  <xdr:twoCellAnchor>
    <xdr:from>
      <xdr:col>6</xdr:col>
      <xdr:colOff>85725</xdr:colOff>
      <xdr:row>78</xdr:row>
      <xdr:rowOff>152400</xdr:rowOff>
    </xdr:from>
    <xdr:to>
      <xdr:col>8</xdr:col>
      <xdr:colOff>66675</xdr:colOff>
      <xdr:row>81</xdr:row>
      <xdr:rowOff>9526</xdr:rowOff>
    </xdr:to>
    <xdr:sp macro="" textlink="" fLocksText="0">
      <xdr:nvSpPr>
        <xdr:cNvPr id="53" name="Rounded Rectangle 52"/>
        <xdr:cNvSpPr/>
      </xdr:nvSpPr>
      <xdr:spPr>
        <a:xfrm>
          <a:off x="4676775" y="6067425"/>
          <a:ext cx="1171575" cy="428626"/>
        </a:xfrm>
        <a:prstGeom prst="roundRect">
          <a:avLst/>
        </a:prstGeom>
        <a:solidFill>
          <a:srgbClr val="05639E">
            <a:alpha val="0"/>
          </a:srgbClr>
        </a:solidFill>
        <a:ln w="12700">
          <a:solidFill>
            <a:srgbClr val="C0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p>
      </xdr:txBody>
    </xdr:sp>
    <xdr:clientData fLocksWithSheet="0"/>
  </xdr:twoCellAnchor>
  <xdr:twoCellAnchor>
    <xdr:from>
      <xdr:col>0</xdr:col>
      <xdr:colOff>962025</xdr:colOff>
      <xdr:row>84</xdr:row>
      <xdr:rowOff>9525</xdr:rowOff>
    </xdr:from>
    <xdr:to>
      <xdr:col>1</xdr:col>
      <xdr:colOff>504828</xdr:colOff>
      <xdr:row>84</xdr:row>
      <xdr:rowOff>9525</xdr:rowOff>
    </xdr:to>
    <xdr:cxnSp macro="">
      <xdr:nvCxnSpPr>
        <xdr:cNvPr id="54" name="Straight Arrow Connector 53"/>
        <xdr:cNvCxnSpPr/>
      </xdr:nvCxnSpPr>
      <xdr:spPr>
        <a:xfrm flipH="1">
          <a:off x="962025" y="7067550"/>
          <a:ext cx="542928" cy="0"/>
        </a:xfrm>
        <a:prstGeom prst="straightConnector1">
          <a:avLst/>
        </a:prstGeom>
        <a:ln>
          <a:headEnd type="arrow"/>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962025</xdr:colOff>
      <xdr:row>75</xdr:row>
      <xdr:rowOff>142875</xdr:rowOff>
    </xdr:from>
    <xdr:to>
      <xdr:col>0</xdr:col>
      <xdr:colOff>962026</xdr:colOff>
      <xdr:row>84</xdr:row>
      <xdr:rowOff>9525</xdr:rowOff>
    </xdr:to>
    <xdr:cxnSp macro="">
      <xdr:nvCxnSpPr>
        <xdr:cNvPr id="55" name="Straight Arrow Connector 54"/>
        <xdr:cNvCxnSpPr/>
      </xdr:nvCxnSpPr>
      <xdr:spPr>
        <a:xfrm>
          <a:off x="962025" y="5486400"/>
          <a:ext cx="1" cy="1581150"/>
        </a:xfrm>
        <a:prstGeom prst="straightConnector1">
          <a:avLst/>
        </a:prstGeom>
        <a:ln>
          <a:headEnd type="none"/>
          <a:tailEnd type="non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169333</xdr:colOff>
      <xdr:row>9</xdr:row>
      <xdr:rowOff>31749</xdr:rowOff>
    </xdr:from>
    <xdr:to>
      <xdr:col>5</xdr:col>
      <xdr:colOff>125940</xdr:colOff>
      <xdr:row>10</xdr:row>
      <xdr:rowOff>148166</xdr:rowOff>
    </xdr:to>
    <xdr:sp macro="" textlink="">
      <xdr:nvSpPr>
        <xdr:cNvPr id="2" name="Right Brace 1"/>
        <xdr:cNvSpPr/>
      </xdr:nvSpPr>
      <xdr:spPr>
        <a:xfrm>
          <a:off x="4074583" y="910166"/>
          <a:ext cx="147107" cy="296333"/>
        </a:xfrm>
        <a:prstGeom prst="rightBrace">
          <a:avLst/>
        </a:prstGeom>
        <a:ln>
          <a:solidFill>
            <a:schemeClr val="tx1">
              <a:lumMod val="75000"/>
              <a:lumOff val="25000"/>
            </a:schemeClr>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US" sz="1100"/>
        </a:p>
      </xdr:txBody>
    </xdr:sp>
    <xdr:clientData/>
  </xdr:twoCellAnchor>
  <xdr:twoCellAnchor editAs="oneCell">
    <xdr:from>
      <xdr:col>9</xdr:col>
      <xdr:colOff>1268022</xdr:colOff>
      <xdr:row>46</xdr:row>
      <xdr:rowOff>203386</xdr:rowOff>
    </xdr:from>
    <xdr:to>
      <xdr:col>10</xdr:col>
      <xdr:colOff>1030940</xdr:colOff>
      <xdr:row>48</xdr:row>
      <xdr:rowOff>222354</xdr:rowOff>
    </xdr:to>
    <xdr:pic>
      <xdr:nvPicPr>
        <xdr:cNvPr id="3" name="Picture 2" descr="B_Couple atTable.wmf"/>
        <xdr:cNvPicPr>
          <a:picLocks noChangeAspect="1"/>
        </xdr:cNvPicPr>
      </xdr:nvPicPr>
      <xdr:blipFill>
        <a:blip xmlns:r="http://schemas.openxmlformats.org/officeDocument/2006/relationships" r:embed="rId1" cstate="print"/>
        <a:stretch>
          <a:fillRect/>
        </a:stretch>
      </xdr:blipFill>
      <xdr:spPr>
        <a:xfrm>
          <a:off x="7307993" y="10064562"/>
          <a:ext cx="1141242" cy="433586"/>
        </a:xfrm>
        <a:prstGeom prst="rect">
          <a:avLst/>
        </a:prstGeom>
      </xdr:spPr>
    </xdr:pic>
    <xdr:clientData/>
  </xdr:twoCellAnchor>
  <xdr:oneCellAnchor>
    <xdr:from>
      <xdr:col>0</xdr:col>
      <xdr:colOff>1994646</xdr:colOff>
      <xdr:row>38</xdr:row>
      <xdr:rowOff>11205</xdr:rowOff>
    </xdr:from>
    <xdr:ext cx="392205" cy="504265"/>
    <xdr:sp macro="" textlink="">
      <xdr:nvSpPr>
        <xdr:cNvPr id="5" name="TextBox 4"/>
        <xdr:cNvSpPr txBox="1"/>
      </xdr:nvSpPr>
      <xdr:spPr>
        <a:xfrm>
          <a:off x="1994646" y="8505264"/>
          <a:ext cx="392205" cy="5042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US" sz="1100" baseline="0">
              <a:solidFill>
                <a:schemeClr val="tx1">
                  <a:lumMod val="75000"/>
                  <a:lumOff val="25000"/>
                </a:schemeClr>
              </a:solidFill>
            </a:rPr>
            <a:t>EE</a:t>
          </a:r>
        </a:p>
        <a:p>
          <a:r>
            <a:rPr lang="en-US" sz="1100" baseline="0">
              <a:solidFill>
                <a:schemeClr val="tx1">
                  <a:lumMod val="75000"/>
                  <a:lumOff val="25000"/>
                </a:schemeClr>
              </a:solidFill>
            </a:rPr>
            <a:t>ER</a:t>
          </a:r>
        </a:p>
      </xdr:txBody>
    </xdr:sp>
    <xdr:clientData/>
  </xdr:oneCellAnchor>
</xdr:wsDr>
</file>

<file path=xl/drawings/drawing5.xml><?xml version="1.0" encoding="utf-8"?>
<xdr:wsDr xmlns:xdr="http://schemas.openxmlformats.org/drawingml/2006/spreadsheetDrawing" xmlns:a="http://schemas.openxmlformats.org/drawingml/2006/main">
  <xdr:twoCellAnchor editAs="oneCell">
    <xdr:from>
      <xdr:col>4</xdr:col>
      <xdr:colOff>621770</xdr:colOff>
      <xdr:row>2</xdr:row>
      <xdr:rowOff>41462</xdr:rowOff>
    </xdr:from>
    <xdr:to>
      <xdr:col>4</xdr:col>
      <xdr:colOff>937931</xdr:colOff>
      <xdr:row>3</xdr:row>
      <xdr:rowOff>184897</xdr:rowOff>
    </xdr:to>
    <xdr:pic>
      <xdr:nvPicPr>
        <xdr:cNvPr id="2" name="Picture 1" descr="check mark.wmf"/>
        <xdr:cNvPicPr>
          <a:picLocks noChangeAspect="1"/>
        </xdr:cNvPicPr>
      </xdr:nvPicPr>
      <xdr:blipFill>
        <a:blip xmlns:r="http://schemas.openxmlformats.org/officeDocument/2006/relationships" r:embed="rId1" cstate="print"/>
        <a:stretch>
          <a:fillRect/>
        </a:stretch>
      </xdr:blipFill>
      <xdr:spPr>
        <a:xfrm>
          <a:off x="4993745" y="393887"/>
          <a:ext cx="316161" cy="40061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9</xdr:col>
      <xdr:colOff>781050</xdr:colOff>
      <xdr:row>6</xdr:row>
      <xdr:rowOff>85725</xdr:rowOff>
    </xdr:from>
    <xdr:to>
      <xdr:col>11</xdr:col>
      <xdr:colOff>38101</xdr:colOff>
      <xdr:row>8</xdr:row>
      <xdr:rowOff>169139</xdr:rowOff>
    </xdr:to>
    <xdr:pic>
      <xdr:nvPicPr>
        <xdr:cNvPr id="8" name="Picture 7" descr="B_Couple atTable.wmf"/>
        <xdr:cNvPicPr>
          <a:picLocks noChangeAspect="1"/>
        </xdr:cNvPicPr>
      </xdr:nvPicPr>
      <xdr:blipFill>
        <a:blip xmlns:r="http://schemas.openxmlformats.org/officeDocument/2006/relationships" r:embed="rId1" cstate="print"/>
        <a:stretch>
          <a:fillRect/>
        </a:stretch>
      </xdr:blipFill>
      <xdr:spPr>
        <a:xfrm>
          <a:off x="6648450" y="1343025"/>
          <a:ext cx="1104901" cy="502514"/>
        </a:xfrm>
        <a:prstGeom prst="rect">
          <a:avLst/>
        </a:prstGeom>
      </xdr:spPr>
    </xdr:pic>
    <xdr:clientData/>
  </xdr:twoCellAnchor>
  <xdr:twoCellAnchor editAs="oneCell">
    <xdr:from>
      <xdr:col>9</xdr:col>
      <xdr:colOff>942975</xdr:colOff>
      <xdr:row>42</xdr:row>
      <xdr:rowOff>28575</xdr:rowOff>
    </xdr:from>
    <xdr:to>
      <xdr:col>11</xdr:col>
      <xdr:colOff>42902</xdr:colOff>
      <xdr:row>43</xdr:row>
      <xdr:rowOff>200889</xdr:rowOff>
    </xdr:to>
    <xdr:pic>
      <xdr:nvPicPr>
        <xdr:cNvPr id="3" name="Picture 2" descr="PruBYC_Black_SM.jpg"/>
        <xdr:cNvPicPr>
          <a:picLocks noChangeAspect="1"/>
        </xdr:cNvPicPr>
      </xdr:nvPicPr>
      <xdr:blipFill>
        <a:blip xmlns:r="http://schemas.openxmlformats.org/officeDocument/2006/relationships" r:embed="rId2" cstate="print"/>
        <a:stretch>
          <a:fillRect/>
        </a:stretch>
      </xdr:blipFill>
      <xdr:spPr>
        <a:xfrm>
          <a:off x="6810375" y="7839075"/>
          <a:ext cx="947777" cy="38186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10.bin"/><Relationship Id="rId4" Type="http://schemas.openxmlformats.org/officeDocument/2006/relationships/comments" Target="../comments6.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6.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pageSetUpPr fitToPage="1"/>
  </sheetPr>
  <dimension ref="A1:G14"/>
  <sheetViews>
    <sheetView showGridLines="0" showRowColHeaders="0" workbookViewId="0">
      <selection sqref="A1:G1"/>
    </sheetView>
  </sheetViews>
  <sheetFormatPr defaultColWidth="10.25" defaultRowHeight="15"/>
  <cols>
    <col min="1" max="2" width="12.375" style="415" customWidth="1"/>
    <col min="3" max="4" width="11.125" style="415" customWidth="1"/>
    <col min="5" max="5" width="12.125" style="415" customWidth="1"/>
    <col min="6" max="6" width="11.125" style="415" customWidth="1"/>
    <col min="7" max="7" width="13.5" style="415" customWidth="1"/>
    <col min="8" max="10" width="12.125" style="415" customWidth="1"/>
    <col min="11" max="256" width="10.25" style="415"/>
    <col min="257" max="257" width="12.125" style="415" customWidth="1"/>
    <col min="258" max="258" width="13.25" style="415" customWidth="1"/>
    <col min="259" max="261" width="12.125" style="415" customWidth="1"/>
    <col min="262" max="262" width="10.875" style="415" customWidth="1"/>
    <col min="263" max="263" width="13.5" style="415" customWidth="1"/>
    <col min="264" max="266" width="12.125" style="415" customWidth="1"/>
    <col min="267" max="512" width="10.25" style="415"/>
    <col min="513" max="513" width="12.125" style="415" customWidth="1"/>
    <col min="514" max="514" width="13.25" style="415" customWidth="1"/>
    <col min="515" max="517" width="12.125" style="415" customWidth="1"/>
    <col min="518" max="518" width="10.875" style="415" customWidth="1"/>
    <col min="519" max="519" width="13.5" style="415" customWidth="1"/>
    <col min="520" max="522" width="12.125" style="415" customWidth="1"/>
    <col min="523" max="768" width="10.25" style="415"/>
    <col min="769" max="769" width="12.125" style="415" customWidth="1"/>
    <col min="770" max="770" width="13.25" style="415" customWidth="1"/>
    <col min="771" max="773" width="12.125" style="415" customWidth="1"/>
    <col min="774" max="774" width="10.875" style="415" customWidth="1"/>
    <col min="775" max="775" width="13.5" style="415" customWidth="1"/>
    <col min="776" max="778" width="12.125" style="415" customWidth="1"/>
    <col min="779" max="1024" width="10.25" style="415"/>
    <col min="1025" max="1025" width="12.125" style="415" customWidth="1"/>
    <col min="1026" max="1026" width="13.25" style="415" customWidth="1"/>
    <col min="1027" max="1029" width="12.125" style="415" customWidth="1"/>
    <col min="1030" max="1030" width="10.875" style="415" customWidth="1"/>
    <col min="1031" max="1031" width="13.5" style="415" customWidth="1"/>
    <col min="1032" max="1034" width="12.125" style="415" customWidth="1"/>
    <col min="1035" max="1280" width="10.25" style="415"/>
    <col min="1281" max="1281" width="12.125" style="415" customWidth="1"/>
    <col min="1282" max="1282" width="13.25" style="415" customWidth="1"/>
    <col min="1283" max="1285" width="12.125" style="415" customWidth="1"/>
    <col min="1286" max="1286" width="10.875" style="415" customWidth="1"/>
    <col min="1287" max="1287" width="13.5" style="415" customWidth="1"/>
    <col min="1288" max="1290" width="12.125" style="415" customWidth="1"/>
    <col min="1291" max="1536" width="10.25" style="415"/>
    <col min="1537" max="1537" width="12.125" style="415" customWidth="1"/>
    <col min="1538" max="1538" width="13.25" style="415" customWidth="1"/>
    <col min="1539" max="1541" width="12.125" style="415" customWidth="1"/>
    <col min="1542" max="1542" width="10.875" style="415" customWidth="1"/>
    <col min="1543" max="1543" width="13.5" style="415" customWidth="1"/>
    <col min="1544" max="1546" width="12.125" style="415" customWidth="1"/>
    <col min="1547" max="1792" width="10.25" style="415"/>
    <col min="1793" max="1793" width="12.125" style="415" customWidth="1"/>
    <col min="1794" max="1794" width="13.25" style="415" customWidth="1"/>
    <col min="1795" max="1797" width="12.125" style="415" customWidth="1"/>
    <col min="1798" max="1798" width="10.875" style="415" customWidth="1"/>
    <col min="1799" max="1799" width="13.5" style="415" customWidth="1"/>
    <col min="1800" max="1802" width="12.125" style="415" customWidth="1"/>
    <col min="1803" max="2048" width="10.25" style="415"/>
    <col min="2049" max="2049" width="12.125" style="415" customWidth="1"/>
    <col min="2050" max="2050" width="13.25" style="415" customWidth="1"/>
    <col min="2051" max="2053" width="12.125" style="415" customWidth="1"/>
    <col min="2054" max="2054" width="10.875" style="415" customWidth="1"/>
    <col min="2055" max="2055" width="13.5" style="415" customWidth="1"/>
    <col min="2056" max="2058" width="12.125" style="415" customWidth="1"/>
    <col min="2059" max="2304" width="10.25" style="415"/>
    <col min="2305" max="2305" width="12.125" style="415" customWidth="1"/>
    <col min="2306" max="2306" width="13.25" style="415" customWidth="1"/>
    <col min="2307" max="2309" width="12.125" style="415" customWidth="1"/>
    <col min="2310" max="2310" width="10.875" style="415" customWidth="1"/>
    <col min="2311" max="2311" width="13.5" style="415" customWidth="1"/>
    <col min="2312" max="2314" width="12.125" style="415" customWidth="1"/>
    <col min="2315" max="2560" width="10.25" style="415"/>
    <col min="2561" max="2561" width="12.125" style="415" customWidth="1"/>
    <col min="2562" max="2562" width="13.25" style="415" customWidth="1"/>
    <col min="2563" max="2565" width="12.125" style="415" customWidth="1"/>
    <col min="2566" max="2566" width="10.875" style="415" customWidth="1"/>
    <col min="2567" max="2567" width="13.5" style="415" customWidth="1"/>
    <col min="2568" max="2570" width="12.125" style="415" customWidth="1"/>
    <col min="2571" max="2816" width="10.25" style="415"/>
    <col min="2817" max="2817" width="12.125" style="415" customWidth="1"/>
    <col min="2818" max="2818" width="13.25" style="415" customWidth="1"/>
    <col min="2819" max="2821" width="12.125" style="415" customWidth="1"/>
    <col min="2822" max="2822" width="10.875" style="415" customWidth="1"/>
    <col min="2823" max="2823" width="13.5" style="415" customWidth="1"/>
    <col min="2824" max="2826" width="12.125" style="415" customWidth="1"/>
    <col min="2827" max="3072" width="10.25" style="415"/>
    <col min="3073" max="3073" width="12.125" style="415" customWidth="1"/>
    <col min="3074" max="3074" width="13.25" style="415" customWidth="1"/>
    <col min="3075" max="3077" width="12.125" style="415" customWidth="1"/>
    <col min="3078" max="3078" width="10.875" style="415" customWidth="1"/>
    <col min="3079" max="3079" width="13.5" style="415" customWidth="1"/>
    <col min="3080" max="3082" width="12.125" style="415" customWidth="1"/>
    <col min="3083" max="3328" width="10.25" style="415"/>
    <col min="3329" max="3329" width="12.125" style="415" customWidth="1"/>
    <col min="3330" max="3330" width="13.25" style="415" customWidth="1"/>
    <col min="3331" max="3333" width="12.125" style="415" customWidth="1"/>
    <col min="3334" max="3334" width="10.875" style="415" customWidth="1"/>
    <col min="3335" max="3335" width="13.5" style="415" customWidth="1"/>
    <col min="3336" max="3338" width="12.125" style="415" customWidth="1"/>
    <col min="3339" max="3584" width="10.25" style="415"/>
    <col min="3585" max="3585" width="12.125" style="415" customWidth="1"/>
    <col min="3586" max="3586" width="13.25" style="415" customWidth="1"/>
    <col min="3587" max="3589" width="12.125" style="415" customWidth="1"/>
    <col min="3590" max="3590" width="10.875" style="415" customWidth="1"/>
    <col min="3591" max="3591" width="13.5" style="415" customWidth="1"/>
    <col min="3592" max="3594" width="12.125" style="415" customWidth="1"/>
    <col min="3595" max="3840" width="10.25" style="415"/>
    <col min="3841" max="3841" width="12.125" style="415" customWidth="1"/>
    <col min="3842" max="3842" width="13.25" style="415" customWidth="1"/>
    <col min="3843" max="3845" width="12.125" style="415" customWidth="1"/>
    <col min="3846" max="3846" width="10.875" style="415" customWidth="1"/>
    <col min="3847" max="3847" width="13.5" style="415" customWidth="1"/>
    <col min="3848" max="3850" width="12.125" style="415" customWidth="1"/>
    <col min="3851" max="4096" width="10.25" style="415"/>
    <col min="4097" max="4097" width="12.125" style="415" customWidth="1"/>
    <col min="4098" max="4098" width="13.25" style="415" customWidth="1"/>
    <col min="4099" max="4101" width="12.125" style="415" customWidth="1"/>
    <col min="4102" max="4102" width="10.875" style="415" customWidth="1"/>
    <col min="4103" max="4103" width="13.5" style="415" customWidth="1"/>
    <col min="4104" max="4106" width="12.125" style="415" customWidth="1"/>
    <col min="4107" max="4352" width="10.25" style="415"/>
    <col min="4353" max="4353" width="12.125" style="415" customWidth="1"/>
    <col min="4354" max="4354" width="13.25" style="415" customWidth="1"/>
    <col min="4355" max="4357" width="12.125" style="415" customWidth="1"/>
    <col min="4358" max="4358" width="10.875" style="415" customWidth="1"/>
    <col min="4359" max="4359" width="13.5" style="415" customWidth="1"/>
    <col min="4360" max="4362" width="12.125" style="415" customWidth="1"/>
    <col min="4363" max="4608" width="10.25" style="415"/>
    <col min="4609" max="4609" width="12.125" style="415" customWidth="1"/>
    <col min="4610" max="4610" width="13.25" style="415" customWidth="1"/>
    <col min="4611" max="4613" width="12.125" style="415" customWidth="1"/>
    <col min="4614" max="4614" width="10.875" style="415" customWidth="1"/>
    <col min="4615" max="4615" width="13.5" style="415" customWidth="1"/>
    <col min="4616" max="4618" width="12.125" style="415" customWidth="1"/>
    <col min="4619" max="4864" width="10.25" style="415"/>
    <col min="4865" max="4865" width="12.125" style="415" customWidth="1"/>
    <col min="4866" max="4866" width="13.25" style="415" customWidth="1"/>
    <col min="4867" max="4869" width="12.125" style="415" customWidth="1"/>
    <col min="4870" max="4870" width="10.875" style="415" customWidth="1"/>
    <col min="4871" max="4871" width="13.5" style="415" customWidth="1"/>
    <col min="4872" max="4874" width="12.125" style="415" customWidth="1"/>
    <col min="4875" max="5120" width="10.25" style="415"/>
    <col min="5121" max="5121" width="12.125" style="415" customWidth="1"/>
    <col min="5122" max="5122" width="13.25" style="415" customWidth="1"/>
    <col min="5123" max="5125" width="12.125" style="415" customWidth="1"/>
    <col min="5126" max="5126" width="10.875" style="415" customWidth="1"/>
    <col min="5127" max="5127" width="13.5" style="415" customWidth="1"/>
    <col min="5128" max="5130" width="12.125" style="415" customWidth="1"/>
    <col min="5131" max="5376" width="10.25" style="415"/>
    <col min="5377" max="5377" width="12.125" style="415" customWidth="1"/>
    <col min="5378" max="5378" width="13.25" style="415" customWidth="1"/>
    <col min="5379" max="5381" width="12.125" style="415" customWidth="1"/>
    <col min="5382" max="5382" width="10.875" style="415" customWidth="1"/>
    <col min="5383" max="5383" width="13.5" style="415" customWidth="1"/>
    <col min="5384" max="5386" width="12.125" style="415" customWidth="1"/>
    <col min="5387" max="5632" width="10.25" style="415"/>
    <col min="5633" max="5633" width="12.125" style="415" customWidth="1"/>
    <col min="5634" max="5634" width="13.25" style="415" customWidth="1"/>
    <col min="5635" max="5637" width="12.125" style="415" customWidth="1"/>
    <col min="5638" max="5638" width="10.875" style="415" customWidth="1"/>
    <col min="5639" max="5639" width="13.5" style="415" customWidth="1"/>
    <col min="5640" max="5642" width="12.125" style="415" customWidth="1"/>
    <col min="5643" max="5888" width="10.25" style="415"/>
    <col min="5889" max="5889" width="12.125" style="415" customWidth="1"/>
    <col min="5890" max="5890" width="13.25" style="415" customWidth="1"/>
    <col min="5891" max="5893" width="12.125" style="415" customWidth="1"/>
    <col min="5894" max="5894" width="10.875" style="415" customWidth="1"/>
    <col min="5895" max="5895" width="13.5" style="415" customWidth="1"/>
    <col min="5896" max="5898" width="12.125" style="415" customWidth="1"/>
    <col min="5899" max="6144" width="10.25" style="415"/>
    <col min="6145" max="6145" width="12.125" style="415" customWidth="1"/>
    <col min="6146" max="6146" width="13.25" style="415" customWidth="1"/>
    <col min="6147" max="6149" width="12.125" style="415" customWidth="1"/>
    <col min="6150" max="6150" width="10.875" style="415" customWidth="1"/>
    <col min="6151" max="6151" width="13.5" style="415" customWidth="1"/>
    <col min="6152" max="6154" width="12.125" style="415" customWidth="1"/>
    <col min="6155" max="6400" width="10.25" style="415"/>
    <col min="6401" max="6401" width="12.125" style="415" customWidth="1"/>
    <col min="6402" max="6402" width="13.25" style="415" customWidth="1"/>
    <col min="6403" max="6405" width="12.125" style="415" customWidth="1"/>
    <col min="6406" max="6406" width="10.875" style="415" customWidth="1"/>
    <col min="6407" max="6407" width="13.5" style="415" customWidth="1"/>
    <col min="6408" max="6410" width="12.125" style="415" customWidth="1"/>
    <col min="6411" max="6656" width="10.25" style="415"/>
    <col min="6657" max="6657" width="12.125" style="415" customWidth="1"/>
    <col min="6658" max="6658" width="13.25" style="415" customWidth="1"/>
    <col min="6659" max="6661" width="12.125" style="415" customWidth="1"/>
    <col min="6662" max="6662" width="10.875" style="415" customWidth="1"/>
    <col min="6663" max="6663" width="13.5" style="415" customWidth="1"/>
    <col min="6664" max="6666" width="12.125" style="415" customWidth="1"/>
    <col min="6667" max="6912" width="10.25" style="415"/>
    <col min="6913" max="6913" width="12.125" style="415" customWidth="1"/>
    <col min="6914" max="6914" width="13.25" style="415" customWidth="1"/>
    <col min="6915" max="6917" width="12.125" style="415" customWidth="1"/>
    <col min="6918" max="6918" width="10.875" style="415" customWidth="1"/>
    <col min="6919" max="6919" width="13.5" style="415" customWidth="1"/>
    <col min="6920" max="6922" width="12.125" style="415" customWidth="1"/>
    <col min="6923" max="7168" width="10.25" style="415"/>
    <col min="7169" max="7169" width="12.125" style="415" customWidth="1"/>
    <col min="7170" max="7170" width="13.25" style="415" customWidth="1"/>
    <col min="7171" max="7173" width="12.125" style="415" customWidth="1"/>
    <col min="7174" max="7174" width="10.875" style="415" customWidth="1"/>
    <col min="7175" max="7175" width="13.5" style="415" customWidth="1"/>
    <col min="7176" max="7178" width="12.125" style="415" customWidth="1"/>
    <col min="7179" max="7424" width="10.25" style="415"/>
    <col min="7425" max="7425" width="12.125" style="415" customWidth="1"/>
    <col min="7426" max="7426" width="13.25" style="415" customWidth="1"/>
    <col min="7427" max="7429" width="12.125" style="415" customWidth="1"/>
    <col min="7430" max="7430" width="10.875" style="415" customWidth="1"/>
    <col min="7431" max="7431" width="13.5" style="415" customWidth="1"/>
    <col min="7432" max="7434" width="12.125" style="415" customWidth="1"/>
    <col min="7435" max="7680" width="10.25" style="415"/>
    <col min="7681" max="7681" width="12.125" style="415" customWidth="1"/>
    <col min="7682" max="7682" width="13.25" style="415" customWidth="1"/>
    <col min="7683" max="7685" width="12.125" style="415" customWidth="1"/>
    <col min="7686" max="7686" width="10.875" style="415" customWidth="1"/>
    <col min="7687" max="7687" width="13.5" style="415" customWidth="1"/>
    <col min="7688" max="7690" width="12.125" style="415" customWidth="1"/>
    <col min="7691" max="7936" width="10.25" style="415"/>
    <col min="7937" max="7937" width="12.125" style="415" customWidth="1"/>
    <col min="7938" max="7938" width="13.25" style="415" customWidth="1"/>
    <col min="7939" max="7941" width="12.125" style="415" customWidth="1"/>
    <col min="7942" max="7942" width="10.875" style="415" customWidth="1"/>
    <col min="7943" max="7943" width="13.5" style="415" customWidth="1"/>
    <col min="7944" max="7946" width="12.125" style="415" customWidth="1"/>
    <col min="7947" max="8192" width="10.25" style="415"/>
    <col min="8193" max="8193" width="12.125" style="415" customWidth="1"/>
    <col min="8194" max="8194" width="13.25" style="415" customWidth="1"/>
    <col min="8195" max="8197" width="12.125" style="415" customWidth="1"/>
    <col min="8198" max="8198" width="10.875" style="415" customWidth="1"/>
    <col min="8199" max="8199" width="13.5" style="415" customWidth="1"/>
    <col min="8200" max="8202" width="12.125" style="415" customWidth="1"/>
    <col min="8203" max="8448" width="10.25" style="415"/>
    <col min="8449" max="8449" width="12.125" style="415" customWidth="1"/>
    <col min="8450" max="8450" width="13.25" style="415" customWidth="1"/>
    <col min="8451" max="8453" width="12.125" style="415" customWidth="1"/>
    <col min="8454" max="8454" width="10.875" style="415" customWidth="1"/>
    <col min="8455" max="8455" width="13.5" style="415" customWidth="1"/>
    <col min="8456" max="8458" width="12.125" style="415" customWidth="1"/>
    <col min="8459" max="8704" width="10.25" style="415"/>
    <col min="8705" max="8705" width="12.125" style="415" customWidth="1"/>
    <col min="8706" max="8706" width="13.25" style="415" customWidth="1"/>
    <col min="8707" max="8709" width="12.125" style="415" customWidth="1"/>
    <col min="8710" max="8710" width="10.875" style="415" customWidth="1"/>
    <col min="8711" max="8711" width="13.5" style="415" customWidth="1"/>
    <col min="8712" max="8714" width="12.125" style="415" customWidth="1"/>
    <col min="8715" max="8960" width="10.25" style="415"/>
    <col min="8961" max="8961" width="12.125" style="415" customWidth="1"/>
    <col min="8962" max="8962" width="13.25" style="415" customWidth="1"/>
    <col min="8963" max="8965" width="12.125" style="415" customWidth="1"/>
    <col min="8966" max="8966" width="10.875" style="415" customWidth="1"/>
    <col min="8967" max="8967" width="13.5" style="415" customWidth="1"/>
    <col min="8968" max="8970" width="12.125" style="415" customWidth="1"/>
    <col min="8971" max="9216" width="10.25" style="415"/>
    <col min="9217" max="9217" width="12.125" style="415" customWidth="1"/>
    <col min="9218" max="9218" width="13.25" style="415" customWidth="1"/>
    <col min="9219" max="9221" width="12.125" style="415" customWidth="1"/>
    <col min="9222" max="9222" width="10.875" style="415" customWidth="1"/>
    <col min="9223" max="9223" width="13.5" style="415" customWidth="1"/>
    <col min="9224" max="9226" width="12.125" style="415" customWidth="1"/>
    <col min="9227" max="9472" width="10.25" style="415"/>
    <col min="9473" max="9473" width="12.125" style="415" customWidth="1"/>
    <col min="9474" max="9474" width="13.25" style="415" customWidth="1"/>
    <col min="9475" max="9477" width="12.125" style="415" customWidth="1"/>
    <col min="9478" max="9478" width="10.875" style="415" customWidth="1"/>
    <col min="9479" max="9479" width="13.5" style="415" customWidth="1"/>
    <col min="9480" max="9482" width="12.125" style="415" customWidth="1"/>
    <col min="9483" max="9728" width="10.25" style="415"/>
    <col min="9729" max="9729" width="12.125" style="415" customWidth="1"/>
    <col min="9730" max="9730" width="13.25" style="415" customWidth="1"/>
    <col min="9731" max="9733" width="12.125" style="415" customWidth="1"/>
    <col min="9734" max="9734" width="10.875" style="415" customWidth="1"/>
    <col min="9735" max="9735" width="13.5" style="415" customWidth="1"/>
    <col min="9736" max="9738" width="12.125" style="415" customWidth="1"/>
    <col min="9739" max="9984" width="10.25" style="415"/>
    <col min="9985" max="9985" width="12.125" style="415" customWidth="1"/>
    <col min="9986" max="9986" width="13.25" style="415" customWidth="1"/>
    <col min="9987" max="9989" width="12.125" style="415" customWidth="1"/>
    <col min="9990" max="9990" width="10.875" style="415" customWidth="1"/>
    <col min="9991" max="9991" width="13.5" style="415" customWidth="1"/>
    <col min="9992" max="9994" width="12.125" style="415" customWidth="1"/>
    <col min="9995" max="10240" width="10.25" style="415"/>
    <col min="10241" max="10241" width="12.125" style="415" customWidth="1"/>
    <col min="10242" max="10242" width="13.25" style="415" customWidth="1"/>
    <col min="10243" max="10245" width="12.125" style="415" customWidth="1"/>
    <col min="10246" max="10246" width="10.875" style="415" customWidth="1"/>
    <col min="10247" max="10247" width="13.5" style="415" customWidth="1"/>
    <col min="10248" max="10250" width="12.125" style="415" customWidth="1"/>
    <col min="10251" max="10496" width="10.25" style="415"/>
    <col min="10497" max="10497" width="12.125" style="415" customWidth="1"/>
    <col min="10498" max="10498" width="13.25" style="415" customWidth="1"/>
    <col min="10499" max="10501" width="12.125" style="415" customWidth="1"/>
    <col min="10502" max="10502" width="10.875" style="415" customWidth="1"/>
    <col min="10503" max="10503" width="13.5" style="415" customWidth="1"/>
    <col min="10504" max="10506" width="12.125" style="415" customWidth="1"/>
    <col min="10507" max="10752" width="10.25" style="415"/>
    <col min="10753" max="10753" width="12.125" style="415" customWidth="1"/>
    <col min="10754" max="10754" width="13.25" style="415" customWidth="1"/>
    <col min="10755" max="10757" width="12.125" style="415" customWidth="1"/>
    <col min="10758" max="10758" width="10.875" style="415" customWidth="1"/>
    <col min="10759" max="10759" width="13.5" style="415" customWidth="1"/>
    <col min="10760" max="10762" width="12.125" style="415" customWidth="1"/>
    <col min="10763" max="11008" width="10.25" style="415"/>
    <col min="11009" max="11009" width="12.125" style="415" customWidth="1"/>
    <col min="11010" max="11010" width="13.25" style="415" customWidth="1"/>
    <col min="11011" max="11013" width="12.125" style="415" customWidth="1"/>
    <col min="11014" max="11014" width="10.875" style="415" customWidth="1"/>
    <col min="11015" max="11015" width="13.5" style="415" customWidth="1"/>
    <col min="11016" max="11018" width="12.125" style="415" customWidth="1"/>
    <col min="11019" max="11264" width="10.25" style="415"/>
    <col min="11265" max="11265" width="12.125" style="415" customWidth="1"/>
    <col min="11266" max="11266" width="13.25" style="415" customWidth="1"/>
    <col min="11267" max="11269" width="12.125" style="415" customWidth="1"/>
    <col min="11270" max="11270" width="10.875" style="415" customWidth="1"/>
    <col min="11271" max="11271" width="13.5" style="415" customWidth="1"/>
    <col min="11272" max="11274" width="12.125" style="415" customWidth="1"/>
    <col min="11275" max="11520" width="10.25" style="415"/>
    <col min="11521" max="11521" width="12.125" style="415" customWidth="1"/>
    <col min="11522" max="11522" width="13.25" style="415" customWidth="1"/>
    <col min="11523" max="11525" width="12.125" style="415" customWidth="1"/>
    <col min="11526" max="11526" width="10.875" style="415" customWidth="1"/>
    <col min="11527" max="11527" width="13.5" style="415" customWidth="1"/>
    <col min="11528" max="11530" width="12.125" style="415" customWidth="1"/>
    <col min="11531" max="11776" width="10.25" style="415"/>
    <col min="11777" max="11777" width="12.125" style="415" customWidth="1"/>
    <col min="11778" max="11778" width="13.25" style="415" customWidth="1"/>
    <col min="11779" max="11781" width="12.125" style="415" customWidth="1"/>
    <col min="11782" max="11782" width="10.875" style="415" customWidth="1"/>
    <col min="11783" max="11783" width="13.5" style="415" customWidth="1"/>
    <col min="11784" max="11786" width="12.125" style="415" customWidth="1"/>
    <col min="11787" max="12032" width="10.25" style="415"/>
    <col min="12033" max="12033" width="12.125" style="415" customWidth="1"/>
    <col min="12034" max="12034" width="13.25" style="415" customWidth="1"/>
    <col min="12035" max="12037" width="12.125" style="415" customWidth="1"/>
    <col min="12038" max="12038" width="10.875" style="415" customWidth="1"/>
    <col min="12039" max="12039" width="13.5" style="415" customWidth="1"/>
    <col min="12040" max="12042" width="12.125" style="415" customWidth="1"/>
    <col min="12043" max="12288" width="10.25" style="415"/>
    <col min="12289" max="12289" width="12.125" style="415" customWidth="1"/>
    <col min="12290" max="12290" width="13.25" style="415" customWidth="1"/>
    <col min="12291" max="12293" width="12.125" style="415" customWidth="1"/>
    <col min="12294" max="12294" width="10.875" style="415" customWidth="1"/>
    <col min="12295" max="12295" width="13.5" style="415" customWidth="1"/>
    <col min="12296" max="12298" width="12.125" style="415" customWidth="1"/>
    <col min="12299" max="12544" width="10.25" style="415"/>
    <col min="12545" max="12545" width="12.125" style="415" customWidth="1"/>
    <col min="12546" max="12546" width="13.25" style="415" customWidth="1"/>
    <col min="12547" max="12549" width="12.125" style="415" customWidth="1"/>
    <col min="12550" max="12550" width="10.875" style="415" customWidth="1"/>
    <col min="12551" max="12551" width="13.5" style="415" customWidth="1"/>
    <col min="12552" max="12554" width="12.125" style="415" customWidth="1"/>
    <col min="12555" max="12800" width="10.25" style="415"/>
    <col min="12801" max="12801" width="12.125" style="415" customWidth="1"/>
    <col min="12802" max="12802" width="13.25" style="415" customWidth="1"/>
    <col min="12803" max="12805" width="12.125" style="415" customWidth="1"/>
    <col min="12806" max="12806" width="10.875" style="415" customWidth="1"/>
    <col min="12807" max="12807" width="13.5" style="415" customWidth="1"/>
    <col min="12808" max="12810" width="12.125" style="415" customWidth="1"/>
    <col min="12811" max="13056" width="10.25" style="415"/>
    <col min="13057" max="13057" width="12.125" style="415" customWidth="1"/>
    <col min="13058" max="13058" width="13.25" style="415" customWidth="1"/>
    <col min="13059" max="13061" width="12.125" style="415" customWidth="1"/>
    <col min="13062" max="13062" width="10.875" style="415" customWidth="1"/>
    <col min="13063" max="13063" width="13.5" style="415" customWidth="1"/>
    <col min="13064" max="13066" width="12.125" style="415" customWidth="1"/>
    <col min="13067" max="13312" width="10.25" style="415"/>
    <col min="13313" max="13313" width="12.125" style="415" customWidth="1"/>
    <col min="13314" max="13314" width="13.25" style="415" customWidth="1"/>
    <col min="13315" max="13317" width="12.125" style="415" customWidth="1"/>
    <col min="13318" max="13318" width="10.875" style="415" customWidth="1"/>
    <col min="13319" max="13319" width="13.5" style="415" customWidth="1"/>
    <col min="13320" max="13322" width="12.125" style="415" customWidth="1"/>
    <col min="13323" max="13568" width="10.25" style="415"/>
    <col min="13569" max="13569" width="12.125" style="415" customWidth="1"/>
    <col min="13570" max="13570" width="13.25" style="415" customWidth="1"/>
    <col min="13571" max="13573" width="12.125" style="415" customWidth="1"/>
    <col min="13574" max="13574" width="10.875" style="415" customWidth="1"/>
    <col min="13575" max="13575" width="13.5" style="415" customWidth="1"/>
    <col min="13576" max="13578" width="12.125" style="415" customWidth="1"/>
    <col min="13579" max="13824" width="10.25" style="415"/>
    <col min="13825" max="13825" width="12.125" style="415" customWidth="1"/>
    <col min="13826" max="13826" width="13.25" style="415" customWidth="1"/>
    <col min="13827" max="13829" width="12.125" style="415" customWidth="1"/>
    <col min="13830" max="13830" width="10.875" style="415" customWidth="1"/>
    <col min="13831" max="13831" width="13.5" style="415" customWidth="1"/>
    <col min="13832" max="13834" width="12.125" style="415" customWidth="1"/>
    <col min="13835" max="14080" width="10.25" style="415"/>
    <col min="14081" max="14081" width="12.125" style="415" customWidth="1"/>
    <col min="14082" max="14082" width="13.25" style="415" customWidth="1"/>
    <col min="14083" max="14085" width="12.125" style="415" customWidth="1"/>
    <col min="14086" max="14086" width="10.875" style="415" customWidth="1"/>
    <col min="14087" max="14087" width="13.5" style="415" customWidth="1"/>
    <col min="14088" max="14090" width="12.125" style="415" customWidth="1"/>
    <col min="14091" max="14336" width="10.25" style="415"/>
    <col min="14337" max="14337" width="12.125" style="415" customWidth="1"/>
    <col min="14338" max="14338" width="13.25" style="415" customWidth="1"/>
    <col min="14339" max="14341" width="12.125" style="415" customWidth="1"/>
    <col min="14342" max="14342" width="10.875" style="415" customWidth="1"/>
    <col min="14343" max="14343" width="13.5" style="415" customWidth="1"/>
    <col min="14344" max="14346" width="12.125" style="415" customWidth="1"/>
    <col min="14347" max="14592" width="10.25" style="415"/>
    <col min="14593" max="14593" width="12.125" style="415" customWidth="1"/>
    <col min="14594" max="14594" width="13.25" style="415" customWidth="1"/>
    <col min="14595" max="14597" width="12.125" style="415" customWidth="1"/>
    <col min="14598" max="14598" width="10.875" style="415" customWidth="1"/>
    <col min="14599" max="14599" width="13.5" style="415" customWidth="1"/>
    <col min="14600" max="14602" width="12.125" style="415" customWidth="1"/>
    <col min="14603" max="14848" width="10.25" style="415"/>
    <col min="14849" max="14849" width="12.125" style="415" customWidth="1"/>
    <col min="14850" max="14850" width="13.25" style="415" customWidth="1"/>
    <col min="14851" max="14853" width="12.125" style="415" customWidth="1"/>
    <col min="14854" max="14854" width="10.875" style="415" customWidth="1"/>
    <col min="14855" max="14855" width="13.5" style="415" customWidth="1"/>
    <col min="14856" max="14858" width="12.125" style="415" customWidth="1"/>
    <col min="14859" max="15104" width="10.25" style="415"/>
    <col min="15105" max="15105" width="12.125" style="415" customWidth="1"/>
    <col min="15106" max="15106" width="13.25" style="415" customWidth="1"/>
    <col min="15107" max="15109" width="12.125" style="415" customWidth="1"/>
    <col min="15110" max="15110" width="10.875" style="415" customWidth="1"/>
    <col min="15111" max="15111" width="13.5" style="415" customWidth="1"/>
    <col min="15112" max="15114" width="12.125" style="415" customWidth="1"/>
    <col min="15115" max="15360" width="10.25" style="415"/>
    <col min="15361" max="15361" width="12.125" style="415" customWidth="1"/>
    <col min="15362" max="15362" width="13.25" style="415" customWidth="1"/>
    <col min="15363" max="15365" width="12.125" style="415" customWidth="1"/>
    <col min="15366" max="15366" width="10.875" style="415" customWidth="1"/>
    <col min="15367" max="15367" width="13.5" style="415" customWidth="1"/>
    <col min="15368" max="15370" width="12.125" style="415" customWidth="1"/>
    <col min="15371" max="15616" width="10.25" style="415"/>
    <col min="15617" max="15617" width="12.125" style="415" customWidth="1"/>
    <col min="15618" max="15618" width="13.25" style="415" customWidth="1"/>
    <col min="15619" max="15621" width="12.125" style="415" customWidth="1"/>
    <col min="15622" max="15622" width="10.875" style="415" customWidth="1"/>
    <col min="15623" max="15623" width="13.5" style="415" customWidth="1"/>
    <col min="15624" max="15626" width="12.125" style="415" customWidth="1"/>
    <col min="15627" max="15872" width="10.25" style="415"/>
    <col min="15873" max="15873" width="12.125" style="415" customWidth="1"/>
    <col min="15874" max="15874" width="13.25" style="415" customWidth="1"/>
    <col min="15875" max="15877" width="12.125" style="415" customWidth="1"/>
    <col min="15878" max="15878" width="10.875" style="415" customWidth="1"/>
    <col min="15879" max="15879" width="13.5" style="415" customWidth="1"/>
    <col min="15880" max="15882" width="12.125" style="415" customWidth="1"/>
    <col min="15883" max="16128" width="10.25" style="415"/>
    <col min="16129" max="16129" width="12.125" style="415" customWidth="1"/>
    <col min="16130" max="16130" width="13.25" style="415" customWidth="1"/>
    <col min="16131" max="16133" width="12.125" style="415" customWidth="1"/>
    <col min="16134" max="16134" width="10.875" style="415" customWidth="1"/>
    <col min="16135" max="16135" width="13.5" style="415" customWidth="1"/>
    <col min="16136" max="16138" width="12.125" style="415" customWidth="1"/>
    <col min="16139" max="16384" width="10.25" style="415"/>
  </cols>
  <sheetData>
    <row r="1" spans="1:7" ht="6" customHeight="1" thickBot="1">
      <c r="A1" s="897"/>
      <c r="B1" s="897"/>
      <c r="C1" s="897"/>
      <c r="D1" s="897"/>
      <c r="E1" s="897"/>
      <c r="F1" s="897"/>
      <c r="G1" s="897"/>
    </row>
    <row r="2" spans="1:7" ht="80.25" customHeight="1" thickBot="1">
      <c r="A2" s="898"/>
      <c r="B2" s="898"/>
      <c r="C2" s="898"/>
      <c r="D2" s="898"/>
      <c r="E2" s="416"/>
      <c r="F2" s="416"/>
      <c r="G2" s="417"/>
    </row>
    <row r="3" spans="1:7" ht="80.25" customHeight="1" thickBot="1">
      <c r="A3" s="418"/>
      <c r="B3" s="418"/>
      <c r="C3" s="418"/>
      <c r="D3" s="899" t="s">
        <v>374</v>
      </c>
      <c r="E3" s="900"/>
      <c r="F3" s="900"/>
      <c r="G3" s="901"/>
    </row>
    <row r="4" spans="1:7" ht="63" customHeight="1">
      <c r="A4" s="902"/>
      <c r="B4" s="902"/>
      <c r="C4" s="902"/>
      <c r="D4" s="902"/>
      <c r="E4" s="902"/>
      <c r="F4" s="902"/>
      <c r="G4" s="902"/>
    </row>
    <row r="5" spans="1:7" ht="131.25" customHeight="1">
      <c r="A5" s="419" t="s">
        <v>378</v>
      </c>
      <c r="B5" s="420"/>
      <c r="C5" s="420"/>
      <c r="D5" s="420"/>
      <c r="E5" s="420"/>
      <c r="F5" s="420"/>
      <c r="G5" s="420"/>
    </row>
    <row r="6" spans="1:7" ht="67.5" customHeight="1">
      <c r="A6" s="895" t="s">
        <v>379</v>
      </c>
      <c r="B6" s="895"/>
      <c r="C6" s="895"/>
      <c r="D6" s="895"/>
      <c r="E6" s="895"/>
      <c r="F6" s="895"/>
      <c r="G6" s="895"/>
    </row>
    <row r="7" spans="1:7" ht="67.5" customHeight="1">
      <c r="A7" s="895" t="s">
        <v>360</v>
      </c>
      <c r="B7" s="895"/>
      <c r="C7" s="895"/>
      <c r="D7" s="895"/>
      <c r="E7" s="895"/>
      <c r="F7" s="895"/>
      <c r="G7" s="895"/>
    </row>
    <row r="8" spans="1:7" ht="42" customHeight="1">
      <c r="A8" s="895" t="s">
        <v>399</v>
      </c>
      <c r="B8" s="895"/>
      <c r="C8" s="895"/>
      <c r="D8" s="895"/>
      <c r="E8" s="895"/>
      <c r="F8" s="895"/>
      <c r="G8" s="895"/>
    </row>
    <row r="9" spans="1:7" ht="66" customHeight="1">
      <c r="A9" s="895" t="s">
        <v>380</v>
      </c>
      <c r="B9" s="895"/>
      <c r="C9" s="895"/>
      <c r="D9" s="895"/>
      <c r="E9" s="895"/>
      <c r="F9" s="895"/>
      <c r="G9" s="895"/>
    </row>
    <row r="10" spans="1:7" ht="35.25" customHeight="1">
      <c r="A10" s="896" t="s">
        <v>361</v>
      </c>
      <c r="B10" s="896"/>
      <c r="C10" s="896"/>
      <c r="D10" s="896"/>
      <c r="E10" s="896"/>
      <c r="F10" s="896"/>
      <c r="G10" s="896"/>
    </row>
    <row r="11" spans="1:7">
      <c r="A11" s="421" t="s">
        <v>0</v>
      </c>
      <c r="B11" s="422"/>
      <c r="C11" s="423"/>
      <c r="D11" s="423"/>
      <c r="E11" s="423"/>
      <c r="F11" s="423"/>
      <c r="G11" s="423"/>
    </row>
    <row r="12" spans="1:7" ht="12" customHeight="1">
      <c r="A12" s="424" t="s">
        <v>1</v>
      </c>
      <c r="B12" s="425"/>
      <c r="C12" s="426"/>
      <c r="D12" s="426"/>
      <c r="E12" s="426"/>
      <c r="F12" s="426"/>
      <c r="G12" s="426"/>
    </row>
    <row r="13" spans="1:7" ht="12" customHeight="1">
      <c r="A13" s="421" t="s">
        <v>362</v>
      </c>
      <c r="B13" s="427"/>
      <c r="C13" s="428"/>
      <c r="D13" s="428"/>
      <c r="E13" s="428"/>
      <c r="F13" s="428"/>
      <c r="G13" s="428"/>
    </row>
    <row r="14" spans="1:7">
      <c r="A14" s="429" t="s">
        <v>327</v>
      </c>
      <c r="B14" s="430"/>
      <c r="C14" s="431"/>
      <c r="D14" s="430"/>
      <c r="E14" s="430"/>
      <c r="F14" s="430"/>
      <c r="G14" s="432" t="s">
        <v>525</v>
      </c>
    </row>
  </sheetData>
  <sheetProtection password="9227" sheet="1" objects="1" scenarios="1" selectLockedCells="1" selectUnlockedCells="1"/>
  <mergeCells count="9">
    <mergeCell ref="A9:G9"/>
    <mergeCell ref="A10:G10"/>
    <mergeCell ref="A1:G1"/>
    <mergeCell ref="A2:D2"/>
    <mergeCell ref="D3:G3"/>
    <mergeCell ref="A4:G4"/>
    <mergeCell ref="A6:G6"/>
    <mergeCell ref="A7:G7"/>
    <mergeCell ref="A8:G8"/>
  </mergeCells>
  <printOptions horizontalCentered="1"/>
  <pageMargins left="0.7" right="0.45" top="0.75" bottom="0.5" header="0.3" footer="0.3"/>
  <pageSetup scale="95" orientation="portrait" horizontalDpi="1200" verticalDpi="1200" r:id="rId1"/>
  <drawing r:id="rId2"/>
</worksheet>
</file>

<file path=xl/worksheets/sheet10.xml><?xml version="1.0" encoding="utf-8"?>
<worksheet xmlns="http://schemas.openxmlformats.org/spreadsheetml/2006/main" xmlns:r="http://schemas.openxmlformats.org/officeDocument/2006/relationships">
  <sheetPr codeName="Sheet1">
    <pageSetUpPr fitToPage="1"/>
  </sheetPr>
  <dimension ref="A1:Q54"/>
  <sheetViews>
    <sheetView showGridLines="0" showRowColHeaders="0" showRuler="0" zoomScaleNormal="100" workbookViewId="0"/>
  </sheetViews>
  <sheetFormatPr defaultRowHeight="15.75"/>
  <cols>
    <col min="1" max="1" width="10.625" style="60" customWidth="1"/>
    <col min="2" max="2" width="14.625" style="60" customWidth="1"/>
    <col min="3" max="3" width="9" style="60"/>
    <col min="4" max="4" width="1" style="60" customWidth="1"/>
    <col min="5" max="5" width="15.5" style="60" customWidth="1"/>
    <col min="6" max="6" width="0.875" style="60" customWidth="1"/>
    <col min="7" max="7" width="12.875" style="60" customWidth="1"/>
    <col min="8" max="8" width="0.875" style="60" customWidth="1"/>
    <col min="9" max="9" width="11.75" style="60" customWidth="1"/>
    <col min="10" max="10" width="13.875" style="60" customWidth="1"/>
    <col min="11" max="11" width="10.375" style="60" customWidth="1"/>
    <col min="12" max="12" width="3.5" style="314" customWidth="1"/>
    <col min="13" max="13" width="11.5" style="60" customWidth="1"/>
    <col min="14" max="16384" width="9" style="60"/>
  </cols>
  <sheetData>
    <row r="1" spans="1:17" ht="30" customHeight="1" thickBot="1">
      <c r="A1" s="727"/>
      <c r="B1" s="1078" t="s">
        <v>474</v>
      </c>
      <c r="C1" s="1109"/>
      <c r="D1" s="1079"/>
      <c r="E1" s="1127" t="s">
        <v>490</v>
      </c>
      <c r="F1" s="1128"/>
      <c r="G1" s="1128"/>
      <c r="H1" s="1128"/>
      <c r="I1" s="1128"/>
      <c r="J1" s="1128"/>
      <c r="K1" s="1129"/>
      <c r="L1" s="261"/>
      <c r="M1" s="262"/>
      <c r="N1" s="263"/>
      <c r="O1" s="263"/>
      <c r="P1" s="263"/>
      <c r="Q1" s="263"/>
    </row>
    <row r="2" spans="1:17" ht="5.25" customHeight="1">
      <c r="A2" s="261"/>
      <c r="B2" s="261"/>
      <c r="C2" s="261"/>
      <c r="D2" s="261"/>
      <c r="E2" s="261"/>
      <c r="F2" s="261"/>
      <c r="G2" s="261"/>
      <c r="H2" s="261"/>
      <c r="I2" s="261"/>
      <c r="J2" s="261"/>
      <c r="K2" s="261"/>
      <c r="L2" s="261"/>
      <c r="M2" s="262"/>
      <c r="N2" s="263"/>
      <c r="O2" s="263"/>
      <c r="P2" s="263"/>
      <c r="Q2" s="263"/>
    </row>
    <row r="3" spans="1:17" ht="19.5" customHeight="1">
      <c r="A3" s="318" t="s">
        <v>314</v>
      </c>
      <c r="B3" s="725"/>
      <c r="C3" s="264"/>
      <c r="D3" s="264"/>
      <c r="E3" s="264"/>
      <c r="F3" s="264"/>
      <c r="G3" s="264"/>
      <c r="H3" s="264"/>
      <c r="I3" s="264"/>
      <c r="J3" s="264"/>
      <c r="K3" s="264"/>
      <c r="L3" s="261"/>
      <c r="N3" s="263"/>
      <c r="O3" s="263"/>
      <c r="P3" s="263"/>
      <c r="Q3" s="263"/>
    </row>
    <row r="4" spans="1:17" ht="11.25" customHeight="1">
      <c r="A4" s="265"/>
      <c r="B4" s="265"/>
      <c r="C4" s="265"/>
      <c r="D4" s="265"/>
      <c r="E4" s="509" t="s">
        <v>305</v>
      </c>
      <c r="F4" s="273"/>
      <c r="G4" s="509" t="s">
        <v>306</v>
      </c>
      <c r="H4" s="266"/>
      <c r="I4" s="265"/>
      <c r="J4" s="509" t="s">
        <v>484</v>
      </c>
      <c r="K4" s="265"/>
      <c r="L4" s="267"/>
    </row>
    <row r="5" spans="1:17" ht="16.5" customHeight="1">
      <c r="A5" s="226" t="s">
        <v>363</v>
      </c>
      <c r="B5" s="226"/>
      <c r="C5" s="226"/>
      <c r="D5" s="128"/>
      <c r="E5" s="320"/>
      <c r="F5" s="57"/>
      <c r="G5" s="320"/>
      <c r="H5" s="268"/>
      <c r="I5" s="128"/>
      <c r="J5" s="321"/>
      <c r="K5" s="128"/>
      <c r="L5" s="269"/>
    </row>
    <row r="6" spans="1:17" ht="16.5" customHeight="1">
      <c r="A6" s="226" t="s">
        <v>302</v>
      </c>
      <c r="B6" s="226"/>
      <c r="C6" s="226"/>
      <c r="D6" s="128"/>
      <c r="E6" s="320"/>
      <c r="F6" s="270"/>
      <c r="G6" s="1124"/>
      <c r="H6" s="270"/>
      <c r="I6" s="1126"/>
      <c r="J6" s="128"/>
      <c r="K6" s="128"/>
      <c r="L6" s="265"/>
    </row>
    <row r="7" spans="1:17" ht="16.5" customHeight="1">
      <c r="A7" s="226" t="s">
        <v>303</v>
      </c>
      <c r="B7" s="226"/>
      <c r="C7" s="226"/>
      <c r="D7" s="128"/>
      <c r="E7" s="321"/>
      <c r="F7" s="270"/>
      <c r="G7" s="1125"/>
      <c r="H7" s="270"/>
      <c r="I7" s="1126"/>
      <c r="J7" s="271"/>
      <c r="K7" s="128"/>
      <c r="L7" s="267"/>
    </row>
    <row r="8" spans="1:17" ht="16.5" customHeight="1">
      <c r="A8" s="226" t="s">
        <v>310</v>
      </c>
      <c r="B8" s="226"/>
      <c r="C8" s="226"/>
      <c r="D8" s="128"/>
      <c r="E8" s="322" t="s">
        <v>5</v>
      </c>
      <c r="F8" s="128"/>
      <c r="G8" s="128"/>
      <c r="H8" s="128"/>
      <c r="I8" s="128"/>
      <c r="J8" s="128"/>
      <c r="K8" s="128"/>
      <c r="L8" s="267"/>
    </row>
    <row r="9" spans="1:17" ht="16.5" customHeight="1">
      <c r="A9" s="226" t="s">
        <v>304</v>
      </c>
      <c r="B9" s="226"/>
      <c r="C9" s="128"/>
      <c r="D9" s="128"/>
      <c r="E9" s="322" t="s">
        <v>5</v>
      </c>
      <c r="F9" s="128"/>
      <c r="G9" s="128"/>
      <c r="H9" s="128"/>
      <c r="I9" s="128"/>
      <c r="J9" s="128"/>
      <c r="K9" s="128"/>
      <c r="L9" s="267"/>
    </row>
    <row r="10" spans="1:17" ht="6" customHeight="1">
      <c r="A10" s="128"/>
      <c r="B10" s="128"/>
      <c r="C10" s="128"/>
      <c r="D10" s="128"/>
      <c r="E10" s="128"/>
      <c r="F10" s="128"/>
      <c r="G10" s="128"/>
      <c r="H10" s="128"/>
      <c r="I10" s="128"/>
      <c r="J10" s="128"/>
      <c r="K10" s="128"/>
      <c r="L10" s="267"/>
      <c r="M10" s="272"/>
    </row>
    <row r="11" spans="1:17" ht="19.5" customHeight="1">
      <c r="A11" s="318" t="s">
        <v>309</v>
      </c>
      <c r="B11" s="725"/>
      <c r="C11" s="264"/>
      <c r="D11" s="264"/>
      <c r="E11" s="264"/>
      <c r="F11" s="264"/>
      <c r="G11" s="264"/>
      <c r="H11" s="264"/>
      <c r="I11" s="264"/>
      <c r="J11" s="264"/>
      <c r="K11" s="264"/>
      <c r="L11" s="267"/>
    </row>
    <row r="12" spans="1:17" ht="13.5" customHeight="1">
      <c r="A12" s="192"/>
      <c r="B12" s="192"/>
      <c r="C12" s="128"/>
      <c r="D12" s="273"/>
      <c r="E12" s="509" t="s">
        <v>250</v>
      </c>
      <c r="F12" s="273"/>
      <c r="G12" s="509" t="s">
        <v>249</v>
      </c>
      <c r="H12" s="189"/>
      <c r="I12" s="128"/>
      <c r="J12" s="509" t="s">
        <v>441</v>
      </c>
      <c r="K12" s="128"/>
      <c r="L12" s="267"/>
    </row>
    <row r="13" spans="1:17" ht="16.5" customHeight="1">
      <c r="A13" s="226" t="s">
        <v>510</v>
      </c>
      <c r="B13" s="226"/>
      <c r="C13" s="275"/>
      <c r="D13" s="128"/>
      <c r="E13" s="873" t="s">
        <v>512</v>
      </c>
      <c r="F13" s="58"/>
      <c r="G13" s="322" t="s">
        <v>5</v>
      </c>
      <c r="H13" s="276"/>
      <c r="I13" s="128"/>
      <c r="J13" s="322" t="s">
        <v>5</v>
      </c>
      <c r="K13" s="128"/>
      <c r="L13" s="269"/>
    </row>
    <row r="14" spans="1:17" ht="16.5" customHeight="1">
      <c r="A14" s="860" t="s">
        <v>507</v>
      </c>
      <c r="B14" s="722"/>
      <c r="C14" s="128"/>
      <c r="D14" s="128"/>
      <c r="E14" s="873" t="s">
        <v>512</v>
      </c>
      <c r="F14" s="55"/>
      <c r="G14" s="322" t="s">
        <v>5</v>
      </c>
      <c r="H14" s="276"/>
      <c r="I14" s="128"/>
      <c r="J14" s="128"/>
      <c r="K14" s="128"/>
      <c r="L14" s="269"/>
    </row>
    <row r="15" spans="1:17" ht="16.5" customHeight="1">
      <c r="A15" s="860" t="s">
        <v>508</v>
      </c>
      <c r="B15" s="722"/>
      <c r="C15" s="128"/>
      <c r="D15" s="128"/>
      <c r="E15" s="873" t="s">
        <v>512</v>
      </c>
      <c r="F15" s="54"/>
      <c r="G15" s="322" t="s">
        <v>5</v>
      </c>
      <c r="H15" s="276"/>
      <c r="I15" s="128"/>
      <c r="J15" s="128"/>
      <c r="K15" s="128"/>
      <c r="L15" s="267"/>
    </row>
    <row r="16" spans="1:17" ht="16.5" customHeight="1">
      <c r="A16" s="860" t="s">
        <v>509</v>
      </c>
      <c r="B16" s="722"/>
      <c r="C16" s="128"/>
      <c r="D16" s="128"/>
      <c r="E16" s="873" t="s">
        <v>512</v>
      </c>
      <c r="F16" s="56"/>
      <c r="G16" s="322" t="s">
        <v>5</v>
      </c>
      <c r="H16" s="276"/>
      <c r="I16" s="324"/>
      <c r="J16" s="270" t="s">
        <v>511</v>
      </c>
      <c r="L16" s="267"/>
    </row>
    <row r="17" spans="1:13" ht="16.5" customHeight="1">
      <c r="A17" s="277" t="s">
        <v>318</v>
      </c>
      <c r="B17" s="277"/>
      <c r="C17" s="128"/>
      <c r="D17" s="192"/>
      <c r="E17" s="325"/>
      <c r="F17" s="57"/>
      <c r="G17" s="129"/>
      <c r="H17" s="127"/>
      <c r="I17" s="193"/>
      <c r="J17" s="193"/>
      <c r="K17" s="255"/>
      <c r="L17" s="278"/>
      <c r="M17" s="279"/>
    </row>
    <row r="18" spans="1:13" ht="13.5" customHeight="1">
      <c r="A18" s="191"/>
      <c r="B18" s="191"/>
      <c r="C18" s="281" t="s">
        <v>398</v>
      </c>
      <c r="D18" s="192"/>
      <c r="E18" s="189"/>
      <c r="F18" s="274"/>
      <c r="G18" s="189"/>
      <c r="H18" s="189"/>
      <c r="I18" s="193"/>
      <c r="J18" s="193"/>
      <c r="K18" s="128"/>
      <c r="L18" s="280"/>
    </row>
    <row r="19" spans="1:13" ht="16.5" customHeight="1">
      <c r="A19" s="191" t="s">
        <v>506</v>
      </c>
      <c r="B19" s="191"/>
      <c r="C19" s="872"/>
      <c r="D19" s="192"/>
      <c r="E19" s="873" t="s">
        <v>512</v>
      </c>
      <c r="F19" s="274"/>
      <c r="G19" s="932" t="s">
        <v>446</v>
      </c>
      <c r="H19" s="933"/>
      <c r="I19" s="933"/>
      <c r="J19" s="933"/>
      <c r="K19" s="934"/>
      <c r="L19" s="280"/>
    </row>
    <row r="20" spans="1:13" ht="16.5" customHeight="1">
      <c r="A20" s="349" t="s">
        <v>428</v>
      </c>
      <c r="B20" s="349"/>
      <c r="C20" s="315"/>
      <c r="D20" s="194"/>
      <c r="E20" s="873" t="s">
        <v>512</v>
      </c>
      <c r="F20" s="121"/>
      <c r="G20" s="1130" t="s">
        <v>512</v>
      </c>
      <c r="H20" s="1131"/>
      <c r="I20" s="873" t="s">
        <v>512</v>
      </c>
      <c r="J20" s="873" t="s">
        <v>512</v>
      </c>
      <c r="K20" s="871"/>
      <c r="L20" s="267"/>
    </row>
    <row r="21" spans="1:13" ht="12" customHeight="1">
      <c r="A21" s="269"/>
      <c r="B21" s="269"/>
      <c r="C21" s="269"/>
      <c r="D21" s="269"/>
      <c r="E21" s="269"/>
      <c r="F21" s="269"/>
      <c r="G21" s="281" t="s">
        <v>430</v>
      </c>
      <c r="H21" s="269"/>
      <c r="I21" s="281" t="s">
        <v>504</v>
      </c>
      <c r="J21" s="281" t="s">
        <v>431</v>
      </c>
      <c r="K21" s="281" t="s">
        <v>398</v>
      </c>
      <c r="L21" s="267"/>
    </row>
    <row r="22" spans="1:13" ht="19.5" customHeight="1">
      <c r="A22" s="318" t="s">
        <v>312</v>
      </c>
      <c r="B22" s="725"/>
      <c r="C22" s="264"/>
      <c r="D22" s="264"/>
      <c r="E22" s="264"/>
      <c r="F22" s="264"/>
      <c r="G22" s="264"/>
      <c r="H22" s="264"/>
      <c r="I22" s="264"/>
      <c r="J22" s="264"/>
      <c r="K22" s="264"/>
      <c r="L22" s="187"/>
    </row>
    <row r="23" spans="1:13" ht="12" customHeight="1">
      <c r="A23" s="128"/>
      <c r="B23" s="128"/>
      <c r="C23" s="128"/>
      <c r="D23" s="128"/>
      <c r="E23" s="128"/>
      <c r="F23" s="128"/>
      <c r="G23" s="128"/>
      <c r="H23" s="128"/>
      <c r="I23" s="508" t="s">
        <v>308</v>
      </c>
      <c r="J23" s="128"/>
      <c r="K23" s="282"/>
      <c r="L23" s="203"/>
    </row>
    <row r="24" spans="1:13" ht="16.5" customHeight="1">
      <c r="A24" s="226" t="s">
        <v>251</v>
      </c>
      <c r="B24" s="226"/>
      <c r="C24" s="226"/>
      <c r="D24" s="128"/>
      <c r="E24" s="873" t="s">
        <v>512</v>
      </c>
      <c r="F24" s="59"/>
      <c r="G24" s="128"/>
      <c r="H24" s="128"/>
      <c r="I24" s="283"/>
      <c r="J24" s="284" t="s">
        <v>326</v>
      </c>
      <c r="K24" s="320"/>
      <c r="L24" s="269"/>
    </row>
    <row r="25" spans="1:13" ht="16.5" customHeight="1">
      <c r="A25" s="226" t="s">
        <v>252</v>
      </c>
      <c r="B25" s="226"/>
      <c r="C25" s="226"/>
      <c r="D25" s="128"/>
      <c r="E25" s="873" t="s">
        <v>512</v>
      </c>
      <c r="F25" s="59"/>
      <c r="G25" s="128"/>
      <c r="H25" s="128"/>
      <c r="I25" s="285" t="b">
        <v>0</v>
      </c>
      <c r="J25" s="284" t="s">
        <v>326</v>
      </c>
      <c r="K25" s="320"/>
      <c r="L25" s="286"/>
    </row>
    <row r="26" spans="1:13" ht="16.5" customHeight="1">
      <c r="A26" s="924" t="s">
        <v>307</v>
      </c>
      <c r="B26" s="924"/>
      <c r="C26" s="924"/>
      <c r="D26" s="128"/>
      <c r="E26" s="873" t="s">
        <v>512</v>
      </c>
      <c r="F26" s="59"/>
      <c r="G26" s="320"/>
      <c r="H26" s="287"/>
      <c r="I26" s="288" t="b">
        <v>0</v>
      </c>
      <c r="J26" s="289" t="s">
        <v>325</v>
      </c>
      <c r="K26" s="326" t="b">
        <v>0</v>
      </c>
      <c r="L26" s="290"/>
    </row>
    <row r="27" spans="1:13" ht="16.5" customHeight="1">
      <c r="A27" s="1132" t="s">
        <v>244</v>
      </c>
      <c r="B27" s="1133"/>
      <c r="C27" s="740" t="s">
        <v>482</v>
      </c>
      <c r="D27" s="128"/>
      <c r="E27" s="510" t="s">
        <v>245</v>
      </c>
      <c r="F27" s="511"/>
      <c r="G27" s="510" t="s">
        <v>246</v>
      </c>
      <c r="H27" s="181"/>
      <c r="I27" s="182"/>
      <c r="J27" s="291"/>
      <c r="K27" s="292"/>
      <c r="L27" s="205"/>
    </row>
    <row r="28" spans="1:13" ht="16.5" customHeight="1">
      <c r="A28" s="1132"/>
      <c r="B28" s="1133"/>
      <c r="C28" s="740" t="s">
        <v>487</v>
      </c>
      <c r="D28" s="128"/>
      <c r="E28" s="873" t="s">
        <v>512</v>
      </c>
      <c r="F28" s="117"/>
      <c r="G28" s="873" t="s">
        <v>512</v>
      </c>
      <c r="H28" s="293"/>
      <c r="I28" s="294" t="b">
        <v>0</v>
      </c>
      <c r="J28" s="284" t="s">
        <v>326</v>
      </c>
      <c r="K28" s="320"/>
      <c r="L28" s="205"/>
    </row>
    <row r="29" spans="1:13" ht="6" customHeight="1">
      <c r="A29" s="316"/>
      <c r="B29" s="722"/>
      <c r="C29" s="276"/>
      <c r="D29" s="128"/>
      <c r="E29" s="295"/>
      <c r="F29" s="117"/>
      <c r="G29" s="296"/>
      <c r="H29" s="296"/>
      <c r="I29" s="205"/>
      <c r="J29" s="297"/>
      <c r="K29" s="298"/>
      <c r="L29" s="299"/>
    </row>
    <row r="30" spans="1:13" ht="15" customHeight="1">
      <c r="A30" s="318" t="s">
        <v>481</v>
      </c>
      <c r="B30" s="725"/>
      <c r="C30" s="264"/>
      <c r="D30" s="264"/>
      <c r="E30" s="264"/>
      <c r="F30" s="264"/>
      <c r="G30" s="264"/>
      <c r="H30" s="264"/>
      <c r="I30" s="264"/>
      <c r="J30" s="264"/>
      <c r="K30" s="264"/>
      <c r="L30" s="299"/>
    </row>
    <row r="31" spans="1:13" ht="12" customHeight="1">
      <c r="A31" s="732"/>
      <c r="B31" s="732"/>
      <c r="C31" s="276"/>
      <c r="D31" s="128"/>
      <c r="E31" s="737"/>
      <c r="F31" s="117"/>
      <c r="G31" s="281" t="s">
        <v>308</v>
      </c>
      <c r="H31" s="296"/>
      <c r="I31" s="205"/>
      <c r="J31" s="297"/>
      <c r="K31" s="268"/>
      <c r="L31" s="299"/>
    </row>
    <row r="32" spans="1:13" ht="16.5" customHeight="1">
      <c r="A32" s="924" t="s">
        <v>288</v>
      </c>
      <c r="B32" s="924"/>
      <c r="C32" s="448"/>
      <c r="E32" s="873" t="s">
        <v>512</v>
      </c>
      <c r="G32" s="739"/>
      <c r="H32" s="296"/>
      <c r="I32" s="205"/>
      <c r="J32" s="297"/>
      <c r="K32" s="268"/>
      <c r="L32" s="299"/>
    </row>
    <row r="33" spans="1:12" ht="16.5" customHeight="1">
      <c r="A33" s="732" t="s">
        <v>331</v>
      </c>
      <c r="B33" s="732"/>
      <c r="C33" s="448"/>
      <c r="E33" s="738"/>
      <c r="F33" s="479"/>
      <c r="G33" s="296"/>
      <c r="H33" s="296"/>
      <c r="I33" s="205"/>
      <c r="J33" s="297"/>
      <c r="K33" s="268"/>
      <c r="L33" s="299"/>
    </row>
    <row r="34" spans="1:12" ht="6" customHeight="1">
      <c r="A34" s="732"/>
      <c r="B34" s="732"/>
      <c r="C34" s="276"/>
      <c r="D34" s="128"/>
      <c r="E34" s="737"/>
      <c r="F34" s="117"/>
      <c r="G34" s="296"/>
      <c r="H34" s="296"/>
      <c r="I34" s="205"/>
      <c r="J34" s="297"/>
      <c r="K34" s="268"/>
      <c r="L34" s="299"/>
    </row>
    <row r="35" spans="1:12" ht="19.5" customHeight="1">
      <c r="A35" s="318" t="s">
        <v>313</v>
      </c>
      <c r="B35" s="725"/>
      <c r="C35" s="264"/>
      <c r="D35" s="264"/>
      <c r="E35" s="264"/>
      <c r="F35" s="264"/>
      <c r="G35" s="264"/>
      <c r="H35" s="264"/>
      <c r="I35" s="264"/>
      <c r="J35" s="264"/>
      <c r="K35" s="264"/>
      <c r="L35" s="300"/>
    </row>
    <row r="36" spans="1:12" ht="7.5" customHeight="1">
      <c r="A36" s="316"/>
      <c r="B36" s="722"/>
      <c r="C36" s="276"/>
      <c r="D36" s="128"/>
      <c r="E36" s="301"/>
      <c r="F36" s="117"/>
      <c r="G36" s="296"/>
      <c r="H36" s="296"/>
      <c r="I36" s="281"/>
      <c r="J36" s="297"/>
      <c r="K36" s="302"/>
      <c r="L36" s="300"/>
    </row>
    <row r="37" spans="1:12" ht="16.5" customHeight="1">
      <c r="A37" s="226" t="s">
        <v>238</v>
      </c>
      <c r="B37" s="226"/>
      <c r="C37" s="226"/>
      <c r="D37" s="128"/>
      <c r="E37" s="327" t="b">
        <v>0</v>
      </c>
      <c r="F37" s="59"/>
      <c r="G37" s="128"/>
      <c r="H37" s="128"/>
      <c r="I37" s="283" t="s">
        <v>308</v>
      </c>
      <c r="J37" s="303" t="s">
        <v>324</v>
      </c>
      <c r="K37" s="328" t="b">
        <v>0</v>
      </c>
      <c r="L37" s="269"/>
    </row>
    <row r="38" spans="1:12" ht="16.5" customHeight="1">
      <c r="A38" s="226" t="s">
        <v>259</v>
      </c>
      <c r="B38" s="226"/>
      <c r="C38" s="226"/>
      <c r="D38" s="128"/>
      <c r="E38" s="323"/>
      <c r="F38" s="59"/>
      <c r="G38" s="873" t="s">
        <v>512</v>
      </c>
      <c r="H38" s="287"/>
      <c r="I38" s="304" t="b">
        <v>0</v>
      </c>
      <c r="J38" s="289" t="s">
        <v>325</v>
      </c>
      <c r="K38" s="326" t="b">
        <v>0</v>
      </c>
      <c r="L38" s="300"/>
    </row>
    <row r="39" spans="1:12" ht="6" customHeight="1">
      <c r="A39" s="316"/>
      <c r="B39" s="722"/>
      <c r="C39" s="316"/>
      <c r="D39" s="128"/>
      <c r="E39" s="195"/>
      <c r="F39" s="128"/>
      <c r="G39" s="309"/>
      <c r="H39" s="228"/>
      <c r="I39" s="128"/>
      <c r="J39" s="128"/>
      <c r="K39" s="128"/>
      <c r="L39" s="308"/>
    </row>
    <row r="40" spans="1:12" ht="19.5" customHeight="1">
      <c r="A40" s="319" t="s">
        <v>322</v>
      </c>
      <c r="B40" s="726"/>
      <c r="C40" s="306"/>
      <c r="D40" s="306"/>
      <c r="E40" s="306"/>
      <c r="F40" s="306"/>
      <c r="G40" s="306"/>
      <c r="H40" s="306"/>
      <c r="I40" s="306"/>
      <c r="J40" s="306"/>
      <c r="K40" s="307"/>
      <c r="L40" s="308"/>
    </row>
    <row r="41" spans="1:12" ht="12" customHeight="1">
      <c r="A41" s="315"/>
      <c r="B41" s="349"/>
      <c r="C41" s="315"/>
      <c r="D41" s="194"/>
      <c r="E41" s="224"/>
      <c r="F41" s="121"/>
      <c r="G41" s="305"/>
      <c r="H41" s="305"/>
      <c r="I41" s="196"/>
      <c r="J41" s="197"/>
      <c r="K41" s="728"/>
      <c r="L41" s="308"/>
    </row>
    <row r="42" spans="1:12" ht="16.5" customHeight="1">
      <c r="A42" s="315" t="s">
        <v>268</v>
      </c>
      <c r="B42" s="349"/>
      <c r="C42" s="315"/>
      <c r="D42" s="194"/>
      <c r="E42" s="329"/>
      <c r="F42" s="121"/>
      <c r="G42" s="322"/>
      <c r="H42" s="305"/>
      <c r="I42" s="349" t="s">
        <v>485</v>
      </c>
      <c r="J42" s="197"/>
      <c r="K42" s="310"/>
      <c r="L42" s="308"/>
    </row>
    <row r="43" spans="1:12" ht="16.5" customHeight="1">
      <c r="A43" s="311" t="s">
        <v>323</v>
      </c>
      <c r="B43" s="311"/>
      <c r="C43" s="315"/>
      <c r="D43" s="194"/>
      <c r="E43" s="873" t="s">
        <v>512</v>
      </c>
      <c r="F43" s="121"/>
      <c r="G43" s="329"/>
      <c r="H43" s="305"/>
      <c r="I43" s="312" t="s">
        <v>486</v>
      </c>
      <c r="J43" s="197"/>
      <c r="K43" s="310"/>
      <c r="L43" s="308"/>
    </row>
    <row r="44" spans="1:12" ht="16.5" customHeight="1">
      <c r="A44" s="349" t="s">
        <v>483</v>
      </c>
      <c r="B44" s="349"/>
      <c r="C44" s="315"/>
      <c r="D44" s="194"/>
      <c r="E44" s="329"/>
      <c r="F44" s="121"/>
      <c r="G44" s="873" t="s">
        <v>512</v>
      </c>
      <c r="H44" s="305"/>
      <c r="I44" s="323"/>
      <c r="J44" s="197"/>
      <c r="K44" s="310"/>
      <c r="L44" s="308"/>
    </row>
    <row r="45" spans="1:12" ht="15.75" customHeight="1">
      <c r="A45" s="1140"/>
      <c r="B45" s="1140"/>
      <c r="C45" s="1140"/>
    </row>
    <row r="46" spans="1:12" ht="15.75" customHeight="1">
      <c r="A46" s="1134" t="s">
        <v>444</v>
      </c>
      <c r="B46" s="1137"/>
      <c r="C46" s="1138"/>
      <c r="D46" s="1138"/>
      <c r="E46" s="1138"/>
      <c r="F46" s="1138"/>
      <c r="G46" s="1138"/>
      <c r="H46" s="1138"/>
      <c r="I46" s="1138"/>
      <c r="J46" s="1138"/>
      <c r="K46" s="1139"/>
    </row>
    <row r="47" spans="1:12" ht="15.75" customHeight="1">
      <c r="A47" s="1135"/>
      <c r="B47" s="1137"/>
      <c r="C47" s="1138"/>
      <c r="D47" s="1138"/>
      <c r="E47" s="1138"/>
      <c r="F47" s="1138"/>
      <c r="G47" s="1138"/>
      <c r="H47" s="1138"/>
      <c r="I47" s="1138"/>
      <c r="J47" s="1138"/>
      <c r="K47" s="1139"/>
    </row>
    <row r="48" spans="1:12" ht="15.75" customHeight="1">
      <c r="A48" s="1135"/>
      <c r="B48" s="1137"/>
      <c r="C48" s="1138"/>
      <c r="D48" s="1138"/>
      <c r="E48" s="1138"/>
      <c r="F48" s="1138"/>
      <c r="G48" s="1138"/>
      <c r="H48" s="1138"/>
      <c r="I48" s="1138"/>
      <c r="J48" s="1138"/>
      <c r="K48" s="1139"/>
    </row>
    <row r="49" spans="1:13" ht="15.75" customHeight="1">
      <c r="A49" s="1135"/>
      <c r="B49" s="1137"/>
      <c r="C49" s="1138"/>
      <c r="D49" s="1138"/>
      <c r="E49" s="1138"/>
      <c r="F49" s="1138"/>
      <c r="G49" s="1138"/>
      <c r="H49" s="1138"/>
      <c r="I49" s="1138"/>
      <c r="J49" s="1138"/>
      <c r="K49" s="1139"/>
    </row>
    <row r="50" spans="1:13" ht="15.75" customHeight="1">
      <c r="A50" s="1135"/>
      <c r="B50" s="1137"/>
      <c r="C50" s="1138"/>
      <c r="D50" s="1138"/>
      <c r="E50" s="1138"/>
      <c r="F50" s="1138"/>
      <c r="G50" s="1138"/>
      <c r="H50" s="1138"/>
      <c r="I50" s="1138"/>
      <c r="J50" s="1138"/>
      <c r="K50" s="1139"/>
    </row>
    <row r="51" spans="1:13" ht="15.75" customHeight="1">
      <c r="A51" s="1135"/>
      <c r="B51" s="1137"/>
      <c r="C51" s="1138"/>
      <c r="D51" s="1138"/>
      <c r="E51" s="1138"/>
      <c r="F51" s="1138"/>
      <c r="G51" s="1138"/>
      <c r="H51" s="1138"/>
      <c r="I51" s="1138"/>
      <c r="J51" s="1138"/>
      <c r="K51" s="1139"/>
    </row>
    <row r="52" spans="1:13" ht="15.75" customHeight="1">
      <c r="A52" s="1135"/>
      <c r="B52" s="1137"/>
      <c r="C52" s="1138"/>
      <c r="D52" s="1138"/>
      <c r="E52" s="1138"/>
      <c r="F52" s="1138"/>
      <c r="G52" s="1138"/>
      <c r="H52" s="1138"/>
      <c r="I52" s="1138"/>
      <c r="J52" s="1138"/>
      <c r="K52" s="1139"/>
    </row>
    <row r="53" spans="1:13" ht="15.75" customHeight="1">
      <c r="A53" s="1136"/>
      <c r="B53" s="1137"/>
      <c r="C53" s="1138"/>
      <c r="D53" s="1138"/>
      <c r="E53" s="1138"/>
      <c r="F53" s="1138"/>
      <c r="G53" s="1138"/>
      <c r="H53" s="1138"/>
      <c r="I53" s="1138"/>
      <c r="J53" s="1138"/>
      <c r="K53" s="1139"/>
    </row>
    <row r="54" spans="1:13" ht="15.75" customHeight="1">
      <c r="A54" s="313" t="s">
        <v>525</v>
      </c>
      <c r="B54" s="648"/>
      <c r="K54" s="741" t="s">
        <v>445</v>
      </c>
      <c r="L54" s="741"/>
      <c r="M54" s="741"/>
    </row>
  </sheetData>
  <sheetProtection password="9227" sheet="1" objects="1" scenarios="1" selectLockedCells="1" selectUnlockedCells="1"/>
  <mergeCells count="19">
    <mergeCell ref="A32:B32"/>
    <mergeCell ref="A27:B28"/>
    <mergeCell ref="A46:A53"/>
    <mergeCell ref="B51:K51"/>
    <mergeCell ref="B52:K52"/>
    <mergeCell ref="B53:K53"/>
    <mergeCell ref="A45:C45"/>
    <mergeCell ref="B46:K46"/>
    <mergeCell ref="B49:K49"/>
    <mergeCell ref="B50:K50"/>
    <mergeCell ref="B47:K47"/>
    <mergeCell ref="B48:K48"/>
    <mergeCell ref="G6:G7"/>
    <mergeCell ref="I6:I7"/>
    <mergeCell ref="A26:C26"/>
    <mergeCell ref="B1:D1"/>
    <mergeCell ref="E1:K1"/>
    <mergeCell ref="G19:K19"/>
    <mergeCell ref="G20:H20"/>
  </mergeCells>
  <pageMargins left="0.7" right="0.5" top="0.75" bottom="0.5" header="0.3" footer="0.3"/>
  <pageSetup scale="82" orientation="portrait" horizontalDpi="1200" verticalDpi="1200" r:id="rId1"/>
  <headerFooter>
    <oddFooter>&amp;C&amp;"Gill Sans,Regular"&amp;6&amp;K01+024SUPPLEMENTAL PAGE</oddFooter>
  </headerFooter>
  <drawing r:id="rId2"/>
  <legacyDrawing r:id="rId3"/>
</worksheet>
</file>

<file path=xl/worksheets/sheet11.xml><?xml version="1.0" encoding="utf-8"?>
<worksheet xmlns="http://schemas.openxmlformats.org/spreadsheetml/2006/main" xmlns:r="http://schemas.openxmlformats.org/officeDocument/2006/relationships">
  <sheetPr>
    <pageSetUpPr fitToPage="1"/>
  </sheetPr>
  <dimension ref="A1:AF632"/>
  <sheetViews>
    <sheetView showGridLines="0" showRowColHeaders="0" showRuler="0" zoomScaleNormal="100" workbookViewId="0"/>
  </sheetViews>
  <sheetFormatPr defaultRowHeight="12.75"/>
  <cols>
    <col min="1" max="1" width="3" style="136" customWidth="1"/>
    <col min="2" max="2" width="10.375" style="136" customWidth="1"/>
    <col min="3" max="3" width="12.25" style="136" customWidth="1"/>
    <col min="4" max="4" width="9" style="136"/>
    <col min="5" max="5" width="0.875" style="136" customWidth="1"/>
    <col min="6" max="6" width="9.625" style="136" customWidth="1"/>
    <col min="7" max="7" width="0.875" style="136" customWidth="1"/>
    <col min="8" max="9" width="9.625" style="136" customWidth="1"/>
    <col min="10" max="10" width="0.875" style="136" customWidth="1"/>
    <col min="11" max="12" width="9.625" style="136" customWidth="1"/>
    <col min="13" max="13" width="4.875" style="136" hidden="1" customWidth="1"/>
    <col min="14" max="14" width="4.75" style="136" customWidth="1"/>
    <col min="15" max="15" width="0.875" style="136" customWidth="1"/>
    <col min="16" max="23" width="9" style="136"/>
    <col min="24" max="24" width="11.625" style="136" customWidth="1"/>
    <col min="25" max="25" width="1.25" style="136" customWidth="1"/>
    <col min="26" max="26" width="11.625" style="136" customWidth="1"/>
    <col min="27" max="27" width="9.625" style="136" customWidth="1"/>
    <col min="28" max="28" width="1.625" style="136" customWidth="1"/>
    <col min="29" max="16384" width="9" style="136"/>
  </cols>
  <sheetData>
    <row r="1" spans="1:32" ht="26.25">
      <c r="A1" s="744"/>
      <c r="B1" s="1149" t="s">
        <v>343</v>
      </c>
      <c r="C1" s="1150"/>
      <c r="D1" s="1150"/>
      <c r="E1" s="1150"/>
      <c r="F1" s="1150"/>
      <c r="G1" s="1150"/>
      <c r="H1" s="1150"/>
      <c r="I1" s="1150"/>
      <c r="J1" s="1150"/>
      <c r="K1" s="1150"/>
      <c r="L1" s="1150"/>
      <c r="M1" s="1150"/>
      <c r="N1" s="1151"/>
      <c r="P1" s="1141" t="s">
        <v>417</v>
      </c>
      <c r="Q1" s="1142"/>
      <c r="R1" s="1142"/>
      <c r="S1" s="1142"/>
      <c r="T1" s="1142"/>
      <c r="U1" s="1142"/>
      <c r="V1" s="1142"/>
      <c r="W1" s="1142"/>
      <c r="X1" s="1143"/>
      <c r="AC1" s="1147" t="s">
        <v>9</v>
      </c>
      <c r="AD1" s="1148"/>
      <c r="AE1" s="1145" t="s">
        <v>233</v>
      </c>
      <c r="AF1" s="1146"/>
    </row>
    <row r="2" spans="1:32" ht="15" customHeight="1">
      <c r="P2" s="745"/>
      <c r="Q2" s="745"/>
      <c r="R2" s="745"/>
      <c r="S2" s="561"/>
      <c r="T2" s="561"/>
      <c r="U2" s="562">
        <f>IF(Calculator!$F$4="",1,2)</f>
        <v>2</v>
      </c>
      <c r="V2" s="561"/>
      <c r="W2" s="561"/>
      <c r="X2" s="561"/>
      <c r="Z2" s="746" t="s">
        <v>455</v>
      </c>
      <c r="AA2" s="746" t="s">
        <v>460</v>
      </c>
      <c r="AC2" s="747" t="s">
        <v>10</v>
      </c>
      <c r="AD2" s="748" t="s">
        <v>3</v>
      </c>
      <c r="AE2" s="749" t="s">
        <v>234</v>
      </c>
      <c r="AF2" s="749" t="s">
        <v>235</v>
      </c>
    </row>
    <row r="3" spans="1:32" ht="27.75" customHeight="1">
      <c r="B3" s="1152" t="str">
        <f>'Additional Input'!$N$13&amp;" 'Permanent' Estate Tax Table"</f>
        <v>2013 'Permanent' Estate Tax Table</v>
      </c>
      <c r="C3" s="1153"/>
      <c r="D3" s="1154"/>
      <c r="E3" s="191"/>
      <c r="F3" s="1155" t="s">
        <v>418</v>
      </c>
      <c r="G3" s="1156"/>
      <c r="H3" s="1156"/>
      <c r="I3" s="1157"/>
      <c r="J3" s="191"/>
      <c r="K3" s="1155" t="s">
        <v>419</v>
      </c>
      <c r="L3" s="1156"/>
      <c r="M3" s="1156"/>
      <c r="N3" s="1157"/>
      <c r="P3" s="750" t="s">
        <v>6</v>
      </c>
      <c r="Q3" s="750" t="s">
        <v>285</v>
      </c>
      <c r="R3" s="750" t="s">
        <v>2</v>
      </c>
      <c r="S3" s="568" t="s">
        <v>406</v>
      </c>
      <c r="T3" s="568" t="s">
        <v>407</v>
      </c>
      <c r="U3" s="568" t="s">
        <v>408</v>
      </c>
      <c r="V3" s="568" t="s">
        <v>409</v>
      </c>
      <c r="W3" s="568" t="s">
        <v>415</v>
      </c>
      <c r="X3" s="568" t="s">
        <v>416</v>
      </c>
      <c r="Z3" s="568" t="s">
        <v>416</v>
      </c>
      <c r="AA3" s="674" t="s">
        <v>459</v>
      </c>
      <c r="AC3" s="751">
        <f>Calculator!$D$29</f>
        <v>0.02</v>
      </c>
      <c r="AD3" s="752"/>
      <c r="AE3" s="753">
        <v>70</v>
      </c>
      <c r="AF3" s="754">
        <v>27.4</v>
      </c>
    </row>
    <row r="4" spans="1:32">
      <c r="B4" s="755">
        <v>0</v>
      </c>
      <c r="C4" s="756">
        <v>0</v>
      </c>
      <c r="D4" s="757">
        <v>0.18</v>
      </c>
      <c r="E4" s="758"/>
      <c r="F4" s="759">
        <v>0</v>
      </c>
      <c r="G4" s="760"/>
      <c r="H4" s="760">
        <v>0</v>
      </c>
      <c r="I4" s="757">
        <v>0.18</v>
      </c>
      <c r="J4" s="758"/>
      <c r="K4" s="759">
        <v>0</v>
      </c>
      <c r="L4" s="761">
        <v>0</v>
      </c>
      <c r="M4" s="762">
        <v>0.18</v>
      </c>
      <c r="N4" s="763">
        <f>IF(M4&lt;Calculator!$D$30,M4,Calculator!$D$30)</f>
        <v>0.18</v>
      </c>
      <c r="P4" s="764">
        <v>-1</v>
      </c>
      <c r="Q4" s="765"/>
      <c r="R4" s="765"/>
      <c r="S4" s="766"/>
      <c r="T4" s="767"/>
      <c r="U4" s="768"/>
      <c r="V4" s="769"/>
      <c r="W4" s="769"/>
      <c r="X4" s="770">
        <f>'Additional Input'!$F$26</f>
        <v>0.04</v>
      </c>
      <c r="Z4" s="771">
        <f>'Additional Input'!$F$26</f>
        <v>0.04</v>
      </c>
      <c r="AA4" s="772"/>
      <c r="AC4" s="356">
        <f>'Additional Input'!$O$13</f>
        <v>5250000</v>
      </c>
      <c r="AD4" s="521">
        <v>0.4</v>
      </c>
      <c r="AE4" s="773">
        <v>71</v>
      </c>
      <c r="AF4" s="774">
        <v>26.5</v>
      </c>
    </row>
    <row r="5" spans="1:32">
      <c r="B5" s="775">
        <v>10000</v>
      </c>
      <c r="C5" s="776">
        <v>1800</v>
      </c>
      <c r="D5" s="757">
        <v>0.2</v>
      </c>
      <c r="E5" s="758"/>
      <c r="F5" s="777">
        <v>10000</v>
      </c>
      <c r="G5" s="778"/>
      <c r="H5" s="778">
        <v>1800</v>
      </c>
      <c r="I5" s="757">
        <v>0.2</v>
      </c>
      <c r="J5" s="758"/>
      <c r="K5" s="777">
        <v>10000</v>
      </c>
      <c r="L5" s="779">
        <f>K5*N4</f>
        <v>1800</v>
      </c>
      <c r="M5" s="762">
        <v>0.2</v>
      </c>
      <c r="N5" s="763">
        <f>IF(M5&lt;Calculator!$D$30,M5,Calculator!$D$30)</f>
        <v>0.2</v>
      </c>
      <c r="P5" s="780">
        <v>0</v>
      </c>
      <c r="Q5" s="563" t="str">
        <f ca="1">'Additional Input'!$N$9&amp;"/"&amp;IF('Additional Input'!$O$9="","",IF('Additional Input'!$O$9=0,"",'Additional Input'!$O$9))</f>
        <v>60/60</v>
      </c>
      <c r="R5" s="781">
        <f>'Additional Input'!$N$13</f>
        <v>2013</v>
      </c>
      <c r="S5" s="782">
        <v>14000</v>
      </c>
      <c r="T5" s="782">
        <f>ROUNDDOWN(S5,-3)</f>
        <v>14000</v>
      </c>
      <c r="U5" s="569">
        <f ca="1">IF($P5&gt;'Additional Input'!$E$11,"",IF(Calculator!$D$19=TRUE,Calculator!$D$18*IF(Calculator!$F$18=TRUE,2,1)*TaxTables!$T5,IF(P5&lt;Calculator!$H$19,Calculator!$F$19,0)))</f>
        <v>84000</v>
      </c>
      <c r="V5" s="783">
        <f ca="1">IF($P5&gt;'Additional Input'!$E$11,"",IF(P5&lt;Calculator!$H$20,IF(Calculator!$D$20=TRUE,-Calculator!$F$20,0),0)-IF(P5&lt;Calculator!$K$8,Calculator!$J$8,0))</f>
        <v>0</v>
      </c>
      <c r="W5" s="783">
        <f ca="1">U5+V5</f>
        <v>84000</v>
      </c>
      <c r="X5" s="784">
        <f ca="1">W5</f>
        <v>84000</v>
      </c>
      <c r="Z5" s="785">
        <f ca="1">U5+AA5</f>
        <v>84000</v>
      </c>
      <c r="AA5" s="864">
        <f ca="1">IF($P5&gt;'Additional Input'!$E$11+1,"",-IF(P5&lt;Calculator!$K$8,Calculator!$J$8,0))</f>
        <v>0</v>
      </c>
      <c r="AC5" s="356">
        <f>IF('Additional Input'!N13=2011,5120000,ROUNDDOWN($AC$4*(1+$AC$3)^Projections!A6,-4))</f>
        <v>5350000</v>
      </c>
      <c r="AD5" s="786">
        <f>Calculator!$D$30</f>
        <v>0.4</v>
      </c>
      <c r="AE5" s="773">
        <v>72</v>
      </c>
      <c r="AF5" s="774">
        <v>25.6</v>
      </c>
    </row>
    <row r="6" spans="1:32">
      <c r="B6" s="775">
        <v>20000</v>
      </c>
      <c r="C6" s="776">
        <v>3800</v>
      </c>
      <c r="D6" s="757">
        <v>0.22</v>
      </c>
      <c r="E6" s="758"/>
      <c r="F6" s="777">
        <v>20000</v>
      </c>
      <c r="G6" s="778"/>
      <c r="H6" s="778">
        <v>3800</v>
      </c>
      <c r="I6" s="757">
        <v>0.22</v>
      </c>
      <c r="J6" s="758"/>
      <c r="K6" s="777">
        <v>20000</v>
      </c>
      <c r="L6" s="779">
        <f t="shared" ref="L6:L22" si="0">((K6-K5)*N5)+L5</f>
        <v>3800</v>
      </c>
      <c r="M6" s="762">
        <v>0.22</v>
      </c>
      <c r="N6" s="763">
        <f>IF(M6&lt;Calculator!$D$30,M6,Calculator!$D$30)</f>
        <v>0.22</v>
      </c>
      <c r="P6" s="780">
        <f t="shared" ref="P6:P11" si="1">+P5+1</f>
        <v>1</v>
      </c>
      <c r="Q6" s="564" t="str">
        <f ca="1">IF(P6&gt;'Additional Input'!$E$11+1,"",IF('Additional Input'!$N$9="","",'Additional Input'!$N$9+Projections!A6)&amp;"/"&amp;IF('Additional Input'!$O$9="","",IF('Additional Input'!$O$9=0,"",'Additional Input'!$O$9+Projections!A6)))</f>
        <v>61/61</v>
      </c>
      <c r="R6" s="781">
        <f ca="1">IF($P6&gt;'Additional Input'!$E$11+1,"",+R5+1)</f>
        <v>2014</v>
      </c>
      <c r="S6" s="782">
        <f ca="1">IF($P6&gt;'Additional Input'!$E$11+1,"",S5*(1+'Additional Input'!$D$13))</f>
        <v>14280</v>
      </c>
      <c r="T6" s="782">
        <f ca="1">IF($P6&gt;'Additional Input'!$E$11+1,"",ROUNDDOWN(S6,-3))</f>
        <v>14000</v>
      </c>
      <c r="U6" s="569">
        <f ca="1">IF($P6&gt;'Additional Input'!$E$11+1,"",IF(Calculator!$D$19=TRUE,Calculator!$D$18*IF(Calculator!$F$18=TRUE,2,1)*TaxTables!$T6,IF(P6&lt;Calculator!$H$19,Calculator!$F$19,0)))</f>
        <v>84000</v>
      </c>
      <c r="V6" s="783">
        <f ca="1">IF($P6&gt;'Additional Input'!$E$11+1,"",IF(P6&lt;Calculator!$H$20,IF(Calculator!$D$20=TRUE,-Calculator!$F$20,0),0)-IF(P6&lt;Calculator!$K$8,Calculator!$J$8,0))</f>
        <v>0</v>
      </c>
      <c r="W6" s="783">
        <f ca="1">IF($P6&gt;'Additional Input'!$E$11+1,"",U6+V6)</f>
        <v>84000</v>
      </c>
      <c r="X6" s="787">
        <f ca="1">IF($P6&gt;'Additional Input'!$E$11+1,"",(X5*(1+$X$4))+W6)</f>
        <v>171360</v>
      </c>
      <c r="Z6" s="788">
        <f ca="1">IF($P6&gt;'Additional Input'!$E$11+1,"",(Z5*(1+$Z$4))+U6+AA6)</f>
        <v>171360</v>
      </c>
      <c r="AA6" s="864">
        <f ca="1">IF($P6&gt;'Additional Input'!$E$11+1,"",-IF(P6&lt;Calculator!$K$8,Calculator!$J$8,0))</f>
        <v>0</v>
      </c>
      <c r="AC6" s="356">
        <f>IF('Additional Input'!N14=2011,5120000,ROUNDDOWN($AC$4*(1+$AC$3)^Projections!A7,-4))</f>
        <v>5460000</v>
      </c>
      <c r="AD6" s="786">
        <f>Calculator!$D$30</f>
        <v>0.4</v>
      </c>
      <c r="AE6" s="773">
        <v>73</v>
      </c>
      <c r="AF6" s="774">
        <v>24.7</v>
      </c>
    </row>
    <row r="7" spans="1:32">
      <c r="B7" s="775">
        <v>40000</v>
      </c>
      <c r="C7" s="776">
        <v>8200</v>
      </c>
      <c r="D7" s="757">
        <v>0.24</v>
      </c>
      <c r="E7" s="758"/>
      <c r="F7" s="777">
        <v>40000</v>
      </c>
      <c r="G7" s="778"/>
      <c r="H7" s="778">
        <v>8200</v>
      </c>
      <c r="I7" s="757">
        <v>0.24</v>
      </c>
      <c r="J7" s="758"/>
      <c r="K7" s="777">
        <v>40000</v>
      </c>
      <c r="L7" s="779">
        <f t="shared" si="0"/>
        <v>8200</v>
      </c>
      <c r="M7" s="762">
        <v>0.24</v>
      </c>
      <c r="N7" s="763">
        <f>IF(M7&lt;Calculator!$D$30,M7,Calculator!$D$30)</f>
        <v>0.24</v>
      </c>
      <c r="P7" s="780">
        <f t="shared" si="1"/>
        <v>2</v>
      </c>
      <c r="Q7" s="564" t="str">
        <f ca="1">IF(P7&gt;'Additional Input'!$E$11+1,"",IF('Additional Input'!$N$9="","",'Additional Input'!$N$9+Projections!A7)&amp;"/"&amp;IF('Additional Input'!$O$9="","",IF('Additional Input'!$O$9=0,"",'Additional Input'!$O$9+Projections!A7)))</f>
        <v>62/62</v>
      </c>
      <c r="R7" s="781">
        <f ca="1">IF($P7&gt;'Additional Input'!$E$11+1,"",+R6+1)</f>
        <v>2015</v>
      </c>
      <c r="S7" s="782">
        <f ca="1">IF($P7&gt;'Additional Input'!$E$11+1,"",S6*(1+'Additional Input'!$D$13))</f>
        <v>14565.6</v>
      </c>
      <c r="T7" s="782">
        <f ca="1">IF($P7&gt;'Additional Input'!$E$11+1,"",ROUNDDOWN(S7,-3))</f>
        <v>14000</v>
      </c>
      <c r="U7" s="569">
        <f ca="1">IF($P7&gt;'Additional Input'!$E$11+1,"",IF(Calculator!$D$19=TRUE,Calculator!$D$18*IF(Calculator!$F$18=TRUE,2,1)*TaxTables!$T7,IF(P7&lt;Calculator!$H$19,Calculator!$F$19,0)))</f>
        <v>84000</v>
      </c>
      <c r="V7" s="783">
        <f ca="1">IF($P7&gt;'Additional Input'!$E$11+1,"",IF(P7&lt;Calculator!$H$20,IF(Calculator!$D$20=TRUE,-Calculator!$F$20,0),0)-IF(P7&lt;Calculator!$K$8,Calculator!$J$8,0))</f>
        <v>0</v>
      </c>
      <c r="W7" s="783">
        <f ca="1">IF($P7&gt;'Additional Input'!$E$11+1,"",U7+V7)</f>
        <v>84000</v>
      </c>
      <c r="X7" s="787">
        <f ca="1">IF($P7&gt;'Additional Input'!$E$11+1,"",(X6*(1+$X$4))+W7)</f>
        <v>262214.40000000002</v>
      </c>
      <c r="Z7" s="788">
        <f ca="1">IF($P7&gt;'Additional Input'!$E$11+1,"",(Z6*(1+$Z$4))+U7+AA7)</f>
        <v>262214.40000000002</v>
      </c>
      <c r="AA7" s="864">
        <f ca="1">IF($P7&gt;'Additional Input'!$E$11+1,"",-IF(P7&lt;Calculator!$K$8,Calculator!$J$8,0))</f>
        <v>0</v>
      </c>
      <c r="AC7" s="356">
        <f>IF('Additional Input'!N15=2011,5120000,ROUNDDOWN($AC$4*(1+$AC$3)^Projections!A8,-4))</f>
        <v>5570000</v>
      </c>
      <c r="AD7" s="786">
        <f>Calculator!$D$30</f>
        <v>0.4</v>
      </c>
      <c r="AE7" s="773">
        <v>74</v>
      </c>
      <c r="AF7" s="774">
        <v>23.8</v>
      </c>
    </row>
    <row r="8" spans="1:32">
      <c r="B8" s="775">
        <v>60000</v>
      </c>
      <c r="C8" s="776">
        <v>13000</v>
      </c>
      <c r="D8" s="757">
        <v>0.26</v>
      </c>
      <c r="E8" s="758"/>
      <c r="F8" s="777">
        <v>60000</v>
      </c>
      <c r="G8" s="778"/>
      <c r="H8" s="778">
        <v>13000</v>
      </c>
      <c r="I8" s="757">
        <v>0.26</v>
      </c>
      <c r="J8" s="758"/>
      <c r="K8" s="777">
        <v>60000</v>
      </c>
      <c r="L8" s="779">
        <f t="shared" si="0"/>
        <v>13000</v>
      </c>
      <c r="M8" s="762">
        <v>0.26</v>
      </c>
      <c r="N8" s="763">
        <f>IF(M8&lt;Calculator!$D$30,M8,Calculator!$D$30)</f>
        <v>0.26</v>
      </c>
      <c r="P8" s="780">
        <f t="shared" si="1"/>
        <v>3</v>
      </c>
      <c r="Q8" s="564" t="str">
        <f ca="1">IF(P8&gt;'Additional Input'!$E$11+1,"",IF('Additional Input'!$N$9="","",'Additional Input'!$N$9+Projections!A8)&amp;"/"&amp;IF('Additional Input'!$O$9="","",IF('Additional Input'!$O$9=0,"",'Additional Input'!$O$9+Projections!A8)))</f>
        <v>63/63</v>
      </c>
      <c r="R8" s="781">
        <f ca="1">IF($P8&gt;'Additional Input'!$E$11+1,"",+R7+1)</f>
        <v>2016</v>
      </c>
      <c r="S8" s="782">
        <f ca="1">IF($P8&gt;'Additional Input'!$E$11+1,"",S7*(1+'Additional Input'!$D$13))</f>
        <v>14856.912</v>
      </c>
      <c r="T8" s="782">
        <f ca="1">IF($P8&gt;'Additional Input'!$E$11+1,"",ROUNDDOWN(S8,-3))</f>
        <v>14000</v>
      </c>
      <c r="U8" s="569">
        <f ca="1">IF($P8&gt;'Additional Input'!$E$11+1,"",IF(Calculator!$D$19=TRUE,Calculator!$D$18*IF(Calculator!$F$18=TRUE,2,1)*TaxTables!$T8,IF(P8&lt;Calculator!$H$19,Calculator!$F$19,0)))</f>
        <v>84000</v>
      </c>
      <c r="V8" s="783">
        <f ca="1">IF($P8&gt;'Additional Input'!$E$11+1,"",IF(P8&lt;Calculator!$H$20,IF(Calculator!$D$20=TRUE,-Calculator!$F$20,0),0)-IF(P8&lt;Calculator!$K$8,Calculator!$J$8,0))</f>
        <v>0</v>
      </c>
      <c r="W8" s="783">
        <f ca="1">IF($P8&gt;'Additional Input'!$E$11+1,"",U8+V8)</f>
        <v>84000</v>
      </c>
      <c r="X8" s="787">
        <f ca="1">IF($P8&gt;'Additional Input'!$E$11+1,"",(X7*(1+$X$4))+W8)</f>
        <v>356702.97600000002</v>
      </c>
      <c r="Z8" s="788">
        <f ca="1">IF($P8&gt;'Additional Input'!$E$11+1,"",(Z7*(1+$Z$4))+U8+AA8)</f>
        <v>356702.97600000002</v>
      </c>
      <c r="AA8" s="864">
        <f ca="1">IF($P8&gt;'Additional Input'!$E$11+1,"",-IF(P8&lt;Calculator!$K$8,Calculator!$J$8,0))</f>
        <v>0</v>
      </c>
      <c r="AC8" s="356">
        <f>IF('Additional Input'!N16=2011,5120000,ROUNDDOWN($AC$4*(1+$AC$3)^Projections!A9,-4))</f>
        <v>5680000</v>
      </c>
      <c r="AD8" s="786">
        <f>Calculator!$D$30</f>
        <v>0.4</v>
      </c>
      <c r="AE8" s="773">
        <v>75</v>
      </c>
      <c r="AF8" s="774">
        <v>22.9</v>
      </c>
    </row>
    <row r="9" spans="1:32">
      <c r="B9" s="775">
        <v>80000</v>
      </c>
      <c r="C9" s="776">
        <v>18200</v>
      </c>
      <c r="D9" s="757">
        <v>0.28000000000000003</v>
      </c>
      <c r="E9" s="758"/>
      <c r="F9" s="777">
        <v>80000</v>
      </c>
      <c r="G9" s="778"/>
      <c r="H9" s="778">
        <v>18200</v>
      </c>
      <c r="I9" s="757">
        <v>0.28000000000000003</v>
      </c>
      <c r="J9" s="758"/>
      <c r="K9" s="777">
        <v>80000</v>
      </c>
      <c r="L9" s="779">
        <f t="shared" si="0"/>
        <v>18200</v>
      </c>
      <c r="M9" s="762">
        <v>0.28000000000000003</v>
      </c>
      <c r="N9" s="763">
        <f>IF(M9&lt;Calculator!$D$30,M9,Calculator!$D$30)</f>
        <v>0.28000000000000003</v>
      </c>
      <c r="P9" s="780">
        <f t="shared" si="1"/>
        <v>4</v>
      </c>
      <c r="Q9" s="564" t="str">
        <f ca="1">IF(P9&gt;'Additional Input'!$E$11+1,"",IF('Additional Input'!$N$9="","",'Additional Input'!$N$9+Projections!A9)&amp;"/"&amp;IF('Additional Input'!$O$9="","",IF('Additional Input'!$O$9=0,"",'Additional Input'!$O$9+Projections!A9)))</f>
        <v>64/64</v>
      </c>
      <c r="R9" s="781">
        <f ca="1">IF($P9&gt;'Additional Input'!$E$11+1,"",+R8+1)</f>
        <v>2017</v>
      </c>
      <c r="S9" s="782">
        <f ca="1">IF($P9&gt;'Additional Input'!$E$11+1,"",S8*(1+'Additional Input'!$D$13))</f>
        <v>15154.05024</v>
      </c>
      <c r="T9" s="782">
        <f ca="1">IF($P9&gt;'Additional Input'!$E$11+1,"",ROUNDDOWN(S9,-3))</f>
        <v>15000</v>
      </c>
      <c r="U9" s="569">
        <f ca="1">IF($P9&gt;'Additional Input'!$E$11+1,"",IF(Calculator!$D$19=TRUE,Calculator!$D$18*IF(Calculator!$F$18=TRUE,2,1)*TaxTables!$T9,IF(P9&lt;Calculator!$H$19,Calculator!$F$19,0)))</f>
        <v>90000</v>
      </c>
      <c r="V9" s="783">
        <f ca="1">IF($P9&gt;'Additional Input'!$E$11+1,"",IF(P9&lt;Calculator!$H$20,IF(Calculator!$D$20=TRUE,-Calculator!$F$20,0),0)-IF(P9&lt;Calculator!$K$8,Calculator!$J$8,0))</f>
        <v>0</v>
      </c>
      <c r="W9" s="783">
        <f ca="1">IF($P9&gt;'Additional Input'!$E$11+1,"",U9+V9)</f>
        <v>90000</v>
      </c>
      <c r="X9" s="787">
        <f ca="1">IF($P9&gt;'Additional Input'!$E$11+1,"",(X8*(1+$X$4))+W9)</f>
        <v>460971.09504000004</v>
      </c>
      <c r="Z9" s="788">
        <f ca="1">IF($P9&gt;'Additional Input'!$E$11+1,"",(Z8*(1+$Z$4))+U9+AA9)</f>
        <v>460971.09504000004</v>
      </c>
      <c r="AA9" s="864">
        <f ca="1">IF($P9&gt;'Additional Input'!$E$11+1,"",-IF(P9&lt;Calculator!$K$8,Calculator!$J$8,0))</f>
        <v>0</v>
      </c>
      <c r="AC9" s="356">
        <f>IF('Additional Input'!N17=2011,5120000,ROUNDDOWN($AC$4*(1+$AC$3)^Projections!A10,-4))</f>
        <v>5790000</v>
      </c>
      <c r="AD9" s="786">
        <f>Calculator!$D$30</f>
        <v>0.4</v>
      </c>
      <c r="AE9" s="789">
        <v>76</v>
      </c>
      <c r="AF9" s="790">
        <v>22</v>
      </c>
    </row>
    <row r="10" spans="1:32">
      <c r="B10" s="775">
        <v>100000</v>
      </c>
      <c r="C10" s="776">
        <v>23800</v>
      </c>
      <c r="D10" s="757">
        <v>0.3</v>
      </c>
      <c r="E10" s="758"/>
      <c r="F10" s="777">
        <v>100000</v>
      </c>
      <c r="G10" s="778"/>
      <c r="H10" s="778">
        <v>23800</v>
      </c>
      <c r="I10" s="757">
        <v>0.3</v>
      </c>
      <c r="J10" s="758"/>
      <c r="K10" s="777">
        <v>100000</v>
      </c>
      <c r="L10" s="779">
        <f t="shared" si="0"/>
        <v>23800</v>
      </c>
      <c r="M10" s="762">
        <v>0.3</v>
      </c>
      <c r="N10" s="763">
        <f>IF(M10&lt;Calculator!$D$30,M10,Calculator!$D$30)</f>
        <v>0.3</v>
      </c>
      <c r="P10" s="780">
        <f t="shared" si="1"/>
        <v>5</v>
      </c>
      <c r="Q10" s="564" t="str">
        <f ca="1">IF(P10&gt;'Additional Input'!$E$11+1,"",IF('Additional Input'!$N$9="","",'Additional Input'!$N$9+Projections!A10)&amp;"/"&amp;IF('Additional Input'!$O$9="","",IF('Additional Input'!$O$9=0,"",'Additional Input'!$O$9+Projections!A10)))</f>
        <v>65/65</v>
      </c>
      <c r="R10" s="781">
        <f ca="1">IF($P10&gt;'Additional Input'!$E$11+1,"",+R9+1)</f>
        <v>2018</v>
      </c>
      <c r="S10" s="782">
        <f ca="1">IF($P10&gt;'Additional Input'!$E$11+1,"",S9*(1+'Additional Input'!$D$13))</f>
        <v>15457.131244800001</v>
      </c>
      <c r="T10" s="782">
        <f ca="1">IF($P10&gt;'Additional Input'!$E$11+1,"",ROUNDDOWN(S10,-3))</f>
        <v>15000</v>
      </c>
      <c r="U10" s="569">
        <f ca="1">IF($P10&gt;'Additional Input'!$E$11+1,"",IF(Calculator!$D$19=TRUE,Calculator!$D$18*IF(Calculator!$F$18=TRUE,2,1)*TaxTables!$T10,IF(P10&lt;Calculator!$H$19,Calculator!$F$19,0)))</f>
        <v>90000</v>
      </c>
      <c r="V10" s="783">
        <f ca="1">IF($P10&gt;'Additional Input'!$E$11+1,"",IF(P10&lt;Calculator!$H$20,IF(Calculator!$D$20=TRUE,-Calculator!$F$20,0),0)-IF(P10&lt;Calculator!$K$8,Calculator!$J$8,0))</f>
        <v>0</v>
      </c>
      <c r="W10" s="783">
        <f ca="1">IF($P10&gt;'Additional Input'!$E$11+1,"",U10+V10)</f>
        <v>90000</v>
      </c>
      <c r="X10" s="787">
        <f ca="1">IF($P10&gt;'Additional Input'!$E$11+1,"",(X9*(1+$X$4))+W10)</f>
        <v>569409.93884160009</v>
      </c>
      <c r="Z10" s="788">
        <f ca="1">IF($P10&gt;'Additional Input'!$E$11+1,"",(Z9*(1+$Z$4))+U10+AA10)</f>
        <v>569409.93884160009</v>
      </c>
      <c r="AA10" s="864">
        <f ca="1">IF($P10&gt;'Additional Input'!$E$11+1,"",-IF(P10&lt;Calculator!$K$8,Calculator!$J$8,0))</f>
        <v>0</v>
      </c>
      <c r="AC10" s="356">
        <f>IF('Additional Input'!N18=2011,5120000,ROUNDDOWN($AC$4*(1+$AC$3)^Projections!A11,-4))</f>
        <v>5910000</v>
      </c>
      <c r="AD10" s="786">
        <f>Calculator!$D$30</f>
        <v>0.4</v>
      </c>
      <c r="AE10" s="773">
        <v>77</v>
      </c>
      <c r="AF10" s="774">
        <v>21.2</v>
      </c>
    </row>
    <row r="11" spans="1:32">
      <c r="B11" s="775">
        <v>150000</v>
      </c>
      <c r="C11" s="776">
        <v>38800</v>
      </c>
      <c r="D11" s="757">
        <v>0.32</v>
      </c>
      <c r="E11" s="758"/>
      <c r="F11" s="777">
        <v>150000</v>
      </c>
      <c r="G11" s="778"/>
      <c r="H11" s="778">
        <v>38800</v>
      </c>
      <c r="I11" s="757">
        <v>0.32</v>
      </c>
      <c r="J11" s="758"/>
      <c r="K11" s="777">
        <v>150000</v>
      </c>
      <c r="L11" s="779">
        <f t="shared" si="0"/>
        <v>38800</v>
      </c>
      <c r="M11" s="762">
        <v>0.32</v>
      </c>
      <c r="N11" s="763">
        <f>IF(M11&lt;Calculator!$D$30,M11,Calculator!$D$30)</f>
        <v>0.32</v>
      </c>
      <c r="P11" s="780">
        <f t="shared" si="1"/>
        <v>6</v>
      </c>
      <c r="Q11" s="564" t="str">
        <f ca="1">IF(P11&gt;'Additional Input'!$E$11+1,"",IF('Additional Input'!$N$9="","",'Additional Input'!$N$9+Projections!A11)&amp;"/"&amp;IF('Additional Input'!$O$9="","",IF('Additional Input'!$O$9=0,"",'Additional Input'!$O$9+Projections!A11)))</f>
        <v>66/66</v>
      </c>
      <c r="R11" s="781">
        <f ca="1">IF($P11&gt;'Additional Input'!$E$11+1,"",+R10+1)</f>
        <v>2019</v>
      </c>
      <c r="S11" s="782">
        <f ca="1">IF($P11&gt;'Additional Input'!$E$11+1,"",S10*(1+'Additional Input'!$D$13))</f>
        <v>15766.273869696</v>
      </c>
      <c r="T11" s="782">
        <f ca="1">IF($P11&gt;'Additional Input'!$E$11+1,"",ROUNDDOWN(S11,-3))</f>
        <v>15000</v>
      </c>
      <c r="U11" s="569">
        <f ca="1">IF($P11&gt;'Additional Input'!$E$11+1,"",IF(Calculator!$D$19=TRUE,Calculator!$D$18*IF(Calculator!$F$18=TRUE,2,1)*TaxTables!$T11,IF(P11&lt;Calculator!$H$19,Calculator!$F$19,0)))</f>
        <v>90000</v>
      </c>
      <c r="V11" s="783">
        <f ca="1">IF($P11&gt;'Additional Input'!$E$11+1,"",IF(P11&lt;Calculator!$H$20,IF(Calculator!$D$20=TRUE,-Calculator!$F$20,0),0)-IF(P11&lt;Calculator!$K$8,Calculator!$J$8,0))</f>
        <v>0</v>
      </c>
      <c r="W11" s="783">
        <f ca="1">IF($P11&gt;'Additional Input'!$E$11+1,"",U11+V11)</f>
        <v>90000</v>
      </c>
      <c r="X11" s="787">
        <f ca="1">IF($P11&gt;'Additional Input'!$E$11+1,"",(X10*(1+$X$4))+W11)</f>
        <v>682186.33639526414</v>
      </c>
      <c r="Z11" s="788">
        <f ca="1">IF($P11&gt;'Additional Input'!$E$11+1,"",(Z10*(1+$Z$4))+U11+AA11)</f>
        <v>682186.33639526414</v>
      </c>
      <c r="AA11" s="864">
        <f ca="1">IF($P11&gt;'Additional Input'!$E$11+1,"",-IF(P11&lt;Calculator!$K$8,Calculator!$J$8,0))</f>
        <v>0</v>
      </c>
      <c r="AC11" s="356">
        <f>IF('Additional Input'!N19=2011,5120000,ROUNDDOWN($AC$4*(1+$AC$3)^Projections!A12,-4))</f>
        <v>6030000</v>
      </c>
      <c r="AD11" s="786">
        <f>Calculator!$D$30</f>
        <v>0.4</v>
      </c>
      <c r="AE11" s="773">
        <v>78</v>
      </c>
      <c r="AF11" s="774">
        <v>20.3</v>
      </c>
    </row>
    <row r="12" spans="1:32">
      <c r="B12" s="775">
        <v>250000</v>
      </c>
      <c r="C12" s="776">
        <v>70800</v>
      </c>
      <c r="D12" s="757">
        <v>0.34</v>
      </c>
      <c r="E12" s="758"/>
      <c r="F12" s="777">
        <v>250000</v>
      </c>
      <c r="G12" s="778"/>
      <c r="H12" s="778">
        <v>70800</v>
      </c>
      <c r="I12" s="757">
        <v>0.34</v>
      </c>
      <c r="J12" s="758"/>
      <c r="K12" s="777">
        <v>250000</v>
      </c>
      <c r="L12" s="779">
        <f t="shared" si="0"/>
        <v>70800</v>
      </c>
      <c r="M12" s="762">
        <v>0.34</v>
      </c>
      <c r="N12" s="763">
        <f>IF(M12&lt;Calculator!$D$30,M12,Calculator!$D$30)</f>
        <v>0.34</v>
      </c>
      <c r="P12" s="780">
        <f t="shared" ref="P12:P48" si="2">+P11+1</f>
        <v>7</v>
      </c>
      <c r="Q12" s="564" t="str">
        <f ca="1">IF(P12&gt;'Additional Input'!$E$11+1,"",IF('Additional Input'!$N$9="","",'Additional Input'!$N$9+Projections!A12)&amp;"/"&amp;IF('Additional Input'!$O$9="","",IF('Additional Input'!$O$9=0,"",'Additional Input'!$O$9+Projections!A12)))</f>
        <v>67/67</v>
      </c>
      <c r="R12" s="781">
        <f ca="1">IF($P12&gt;'Additional Input'!$E$11+1,"",+R11+1)</f>
        <v>2020</v>
      </c>
      <c r="S12" s="782">
        <f ca="1">IF($P12&gt;'Additional Input'!$E$11+1,"",S11*(1+'Additional Input'!$D$13))</f>
        <v>16081.599347089921</v>
      </c>
      <c r="T12" s="782">
        <f ca="1">IF($P12&gt;'Additional Input'!$E$11+1,"",ROUNDDOWN(S12,-3))</f>
        <v>16000</v>
      </c>
      <c r="U12" s="569">
        <f ca="1">IF($P12&gt;'Additional Input'!$E$11+1,"",IF(Calculator!$D$19=TRUE,Calculator!$D$18*IF(Calculator!$F$18=TRUE,2,1)*TaxTables!$T12,IF(P12&lt;Calculator!$H$19,Calculator!$F$19,0)))</f>
        <v>96000</v>
      </c>
      <c r="V12" s="783">
        <f ca="1">IF($P12&gt;'Additional Input'!$E$11+1,"",IF(P12&lt;Calculator!$H$20,IF(Calculator!$D$20=TRUE,-Calculator!$F$20,0),0)-IF(P12&lt;Calculator!$K$8,Calculator!$J$8,0))</f>
        <v>0</v>
      </c>
      <c r="W12" s="783">
        <f ca="1">IF($P12&gt;'Additional Input'!$E$11+1,"",U12+V12)</f>
        <v>96000</v>
      </c>
      <c r="X12" s="787">
        <f ca="1">IF($P12&gt;'Additional Input'!$E$11+1,"",(X11*(1+$X$4))+W12)</f>
        <v>805473.78985107469</v>
      </c>
      <c r="Z12" s="788">
        <f ca="1">IF($P12&gt;'Additional Input'!$E$11+1,"",(Z11*(1+$Z$4))+U12+AA12)</f>
        <v>805473.78985107469</v>
      </c>
      <c r="AA12" s="864">
        <f ca="1">IF($P12&gt;'Additional Input'!$E$11+1,"",-IF(P12&lt;Calculator!$K$8,Calculator!$J$8,0))</f>
        <v>0</v>
      </c>
      <c r="AC12" s="356">
        <f>IF('Additional Input'!N20=2011,5120000,ROUNDDOWN($AC$4*(1+$AC$3)^Projections!A13,-4))</f>
        <v>6150000</v>
      </c>
      <c r="AD12" s="786">
        <f>Calculator!$D$30</f>
        <v>0.4</v>
      </c>
      <c r="AE12" s="773">
        <v>79</v>
      </c>
      <c r="AF12" s="774">
        <v>19.5</v>
      </c>
    </row>
    <row r="13" spans="1:32">
      <c r="B13" s="775">
        <v>500000</v>
      </c>
      <c r="C13" s="776">
        <v>155800</v>
      </c>
      <c r="D13" s="763">
        <v>0.37</v>
      </c>
      <c r="E13" s="758"/>
      <c r="F13" s="777">
        <v>500000</v>
      </c>
      <c r="G13" s="778"/>
      <c r="H13" s="778">
        <v>155800</v>
      </c>
      <c r="I13" s="757">
        <v>0.37</v>
      </c>
      <c r="J13" s="758"/>
      <c r="K13" s="777">
        <v>500000</v>
      </c>
      <c r="L13" s="779">
        <f t="shared" si="0"/>
        <v>155800</v>
      </c>
      <c r="M13" s="762">
        <v>0.37</v>
      </c>
      <c r="N13" s="763">
        <f>IF(M13&lt;Calculator!$D$30,M13,Calculator!$D$30)</f>
        <v>0.37</v>
      </c>
      <c r="P13" s="780">
        <f t="shared" si="2"/>
        <v>8</v>
      </c>
      <c r="Q13" s="564" t="str">
        <f ca="1">IF(P13&gt;'Additional Input'!$E$11+1,"",IF('Additional Input'!$N$9="","",'Additional Input'!$N$9+Projections!A13)&amp;"/"&amp;IF('Additional Input'!$O$9="","",IF('Additional Input'!$O$9=0,"",'Additional Input'!$O$9+Projections!A13)))</f>
        <v>68/68</v>
      </c>
      <c r="R13" s="781">
        <f ca="1">IF($P13&gt;'Additional Input'!$E$11+1,"",+R12+1)</f>
        <v>2021</v>
      </c>
      <c r="S13" s="782">
        <f ca="1">IF($P13&gt;'Additional Input'!$E$11+1,"",S12*(1+'Additional Input'!$D$13))</f>
        <v>16403.23133403172</v>
      </c>
      <c r="T13" s="782">
        <f ca="1">IF($P13&gt;'Additional Input'!$E$11+1,"",ROUNDDOWN(S13,-3))</f>
        <v>16000</v>
      </c>
      <c r="U13" s="569">
        <f ca="1">IF($P13&gt;'Additional Input'!$E$11+1,"",IF(Calculator!$D$19=TRUE,Calculator!$D$18*IF(Calculator!$F$18=TRUE,2,1)*TaxTables!$T13,IF(P13&lt;Calculator!$H$19,Calculator!$F$19,0)))</f>
        <v>96000</v>
      </c>
      <c r="V13" s="783">
        <f ca="1">IF($P13&gt;'Additional Input'!$E$11+1,"",IF(P13&lt;Calculator!$H$20,IF(Calculator!$D$20=TRUE,-Calculator!$F$20,0),0)-IF(P13&lt;Calculator!$K$8,Calculator!$J$8,0))</f>
        <v>0</v>
      </c>
      <c r="W13" s="783">
        <f ca="1">IF($P13&gt;'Additional Input'!$E$11+1,"",U13+V13)</f>
        <v>96000</v>
      </c>
      <c r="X13" s="787">
        <f ca="1">IF($P13&gt;'Additional Input'!$E$11+1,"",(X12*(1+$X$4))+W13)</f>
        <v>933692.74144511775</v>
      </c>
      <c r="Z13" s="788">
        <f ca="1">IF($P13&gt;'Additional Input'!$E$11+1,"",(Z12*(1+$Z$4))+U13+AA13)</f>
        <v>933692.74144511775</v>
      </c>
      <c r="AA13" s="864">
        <f ca="1">IF($P13&gt;'Additional Input'!$E$11+1,"",-IF(P13&lt;Calculator!$K$8,Calculator!$J$8,0))</f>
        <v>0</v>
      </c>
      <c r="AC13" s="356">
        <f>IF('Additional Input'!N21=2011,5120000,ROUNDDOWN($AC$4*(1+$AC$3)^Projections!A14,-4))</f>
        <v>6270000</v>
      </c>
      <c r="AD13" s="786">
        <f>Calculator!$D$30</f>
        <v>0.4</v>
      </c>
      <c r="AE13" s="773">
        <v>80</v>
      </c>
      <c r="AF13" s="774">
        <v>18.7</v>
      </c>
    </row>
    <row r="14" spans="1:32">
      <c r="B14" s="775">
        <v>750000</v>
      </c>
      <c r="C14" s="776">
        <v>248300</v>
      </c>
      <c r="D14" s="763">
        <v>0.39</v>
      </c>
      <c r="E14" s="758"/>
      <c r="F14" s="777">
        <v>750000</v>
      </c>
      <c r="G14" s="778"/>
      <c r="H14" s="778">
        <v>248300</v>
      </c>
      <c r="I14" s="757">
        <v>0.39</v>
      </c>
      <c r="J14" s="758"/>
      <c r="K14" s="777">
        <v>750000</v>
      </c>
      <c r="L14" s="779">
        <f t="shared" si="0"/>
        <v>248300</v>
      </c>
      <c r="M14" s="762">
        <v>0.39</v>
      </c>
      <c r="N14" s="763">
        <f>IF(M14&lt;Calculator!$D$30,M14,Calculator!$D$30)</f>
        <v>0.39</v>
      </c>
      <c r="P14" s="780">
        <f t="shared" si="2"/>
        <v>9</v>
      </c>
      <c r="Q14" s="564" t="str">
        <f ca="1">IF(P14&gt;'Additional Input'!$E$11+1,"",IF('Additional Input'!$N$9="","",'Additional Input'!$N$9+Projections!A14)&amp;"/"&amp;IF('Additional Input'!$O$9="","",IF('Additional Input'!$O$9=0,"",'Additional Input'!$O$9+Projections!A14)))</f>
        <v>69/69</v>
      </c>
      <c r="R14" s="781">
        <f ca="1">IF($P14&gt;'Additional Input'!$E$11+1,"",+R13+1)</f>
        <v>2022</v>
      </c>
      <c r="S14" s="782">
        <f ca="1">IF($P14&gt;'Additional Input'!$E$11+1,"",S13*(1+'Additional Input'!$D$13))</f>
        <v>16731.295960712356</v>
      </c>
      <c r="T14" s="782">
        <f ca="1">IF($P14&gt;'Additional Input'!$E$11+1,"",ROUNDDOWN(S14,-3))</f>
        <v>16000</v>
      </c>
      <c r="U14" s="569">
        <f ca="1">IF($P14&gt;'Additional Input'!$E$11+1,"",IF(Calculator!$D$19=TRUE,Calculator!$D$18*IF(Calculator!$F$18=TRUE,2,1)*TaxTables!$T14,IF(P14&lt;Calculator!$H$19,Calculator!$F$19,0)))</f>
        <v>96000</v>
      </c>
      <c r="V14" s="783">
        <f ca="1">IF($P14&gt;'Additional Input'!$E$11+1,"",IF(P14&lt;Calculator!$H$20,IF(Calculator!$D$20=TRUE,-Calculator!$F$20,0),0)-IF(P14&lt;Calculator!$K$8,Calculator!$J$8,0))</f>
        <v>0</v>
      </c>
      <c r="W14" s="783">
        <f ca="1">IF($P14&gt;'Additional Input'!$E$11+1,"",U14+V14)</f>
        <v>96000</v>
      </c>
      <c r="X14" s="787">
        <f ca="1">IF($P14&gt;'Additional Input'!$E$11+1,"",(X13*(1+$X$4))+W14)</f>
        <v>1067040.4511029224</v>
      </c>
      <c r="Z14" s="788">
        <f ca="1">IF($P14&gt;'Additional Input'!$E$11+1,"",(Z13*(1+$Z$4))+U14+AA14)</f>
        <v>1067040.4511029224</v>
      </c>
      <c r="AA14" s="864">
        <f ca="1">IF($P14&gt;'Additional Input'!$E$11+1,"",-IF(P14&lt;Calculator!$K$8,Calculator!$J$8,0))</f>
        <v>0</v>
      </c>
      <c r="AC14" s="356">
        <f>IF('Additional Input'!N22=2011,5120000,ROUNDDOWN($AC$4*(1+$AC$3)^Projections!A15,-4))</f>
        <v>6390000</v>
      </c>
      <c r="AD14" s="786">
        <f>Calculator!$D$30</f>
        <v>0.4</v>
      </c>
      <c r="AE14" s="789">
        <v>81</v>
      </c>
      <c r="AF14" s="790">
        <v>17.899999999999999</v>
      </c>
    </row>
    <row r="15" spans="1:32">
      <c r="B15" s="775">
        <v>1000000</v>
      </c>
      <c r="C15" s="776">
        <v>345800</v>
      </c>
      <c r="D15" s="763">
        <v>0.4</v>
      </c>
      <c r="E15" s="758"/>
      <c r="F15" s="777">
        <v>1000000</v>
      </c>
      <c r="G15" s="778"/>
      <c r="H15" s="778">
        <v>345800</v>
      </c>
      <c r="I15" s="757">
        <v>0.41</v>
      </c>
      <c r="J15" s="758"/>
      <c r="K15" s="777">
        <v>1000000</v>
      </c>
      <c r="L15" s="779">
        <f t="shared" si="0"/>
        <v>345800</v>
      </c>
      <c r="M15" s="762">
        <v>0.41</v>
      </c>
      <c r="N15" s="763">
        <f>IF(M15&lt;Calculator!$D$30,M15,Calculator!$D$30)</f>
        <v>0.4</v>
      </c>
      <c r="P15" s="780">
        <f t="shared" si="2"/>
        <v>10</v>
      </c>
      <c r="Q15" s="564" t="str">
        <f ca="1">IF(P15&gt;'Additional Input'!$E$11+1,"",IF('Additional Input'!$N$9="","",'Additional Input'!$N$9+Projections!A15)&amp;"/"&amp;IF('Additional Input'!$O$9="","",IF('Additional Input'!$O$9=0,"",'Additional Input'!$O$9+Projections!A15)))</f>
        <v>70/70</v>
      </c>
      <c r="R15" s="781">
        <f ca="1">IF($P15&gt;'Additional Input'!$E$11+1,"",+R14+1)</f>
        <v>2023</v>
      </c>
      <c r="S15" s="782">
        <f ca="1">IF($P15&gt;'Additional Input'!$E$11+1,"",S14*(1+'Additional Input'!$D$13))</f>
        <v>17065.921879926602</v>
      </c>
      <c r="T15" s="782">
        <f ca="1">IF($P15&gt;'Additional Input'!$E$11+1,"",ROUNDDOWN(S15,-3))</f>
        <v>17000</v>
      </c>
      <c r="U15" s="569">
        <f ca="1">IF($P15&gt;'Additional Input'!$E$11+1,"",IF(Calculator!$D$19=TRUE,Calculator!$D$18*IF(Calculator!$F$18=TRUE,2,1)*TaxTables!$T15,IF(P15&lt;Calculator!$H$19,Calculator!$F$19,0)))</f>
        <v>102000</v>
      </c>
      <c r="V15" s="783">
        <f ca="1">IF($P15&gt;'Additional Input'!$E$11+1,"",IF(P15&lt;Calculator!$H$20,IF(Calculator!$D$20=TRUE,-Calculator!$F$20,0),0)-IF(P15&lt;Calculator!$K$8,Calculator!$J$8,0))</f>
        <v>0</v>
      </c>
      <c r="W15" s="783">
        <f ca="1">IF($P15&gt;'Additional Input'!$E$11+1,"",U15+V15)</f>
        <v>102000</v>
      </c>
      <c r="X15" s="787">
        <f ca="1">IF($P15&gt;'Additional Input'!$E$11+1,"",(X14*(1+$X$4))+W15)</f>
        <v>1211722.0691470394</v>
      </c>
      <c r="Z15" s="788">
        <f ca="1">IF($P15&gt;'Additional Input'!$E$11+1,"",(Z14*(1+$Z$4))+U15+AA15)</f>
        <v>1211722.0691470394</v>
      </c>
      <c r="AA15" s="864">
        <f ca="1">IF($P15&gt;'Additional Input'!$E$11+1,"",-IF(P15&lt;Calculator!$K$8,Calculator!$J$8,0))</f>
        <v>0</v>
      </c>
      <c r="AC15" s="356">
        <f>IF('Additional Input'!N23=2011,5120000,ROUNDDOWN($AC$4*(1+$AC$3)^Projections!A16,-4))</f>
        <v>6520000</v>
      </c>
      <c r="AD15" s="786">
        <f>Calculator!$D$30</f>
        <v>0.4</v>
      </c>
      <c r="AE15" s="773">
        <v>82</v>
      </c>
      <c r="AF15" s="774">
        <v>17.100000000000001</v>
      </c>
    </row>
    <row r="16" spans="1:32">
      <c r="B16" s="777"/>
      <c r="C16" s="778"/>
      <c r="D16" s="757"/>
      <c r="E16" s="758"/>
      <c r="F16" s="777">
        <v>1250000</v>
      </c>
      <c r="G16" s="778"/>
      <c r="H16" s="778">
        <v>448300</v>
      </c>
      <c r="I16" s="757">
        <v>0.43</v>
      </c>
      <c r="J16" s="758"/>
      <c r="K16" s="777">
        <v>1250000</v>
      </c>
      <c r="L16" s="779">
        <f t="shared" si="0"/>
        <v>445800</v>
      </c>
      <c r="M16" s="762">
        <v>0.43</v>
      </c>
      <c r="N16" s="763">
        <f>IF(M16&lt;Calculator!$D$30,M16,Calculator!$D$30)</f>
        <v>0.4</v>
      </c>
      <c r="P16" s="780">
        <f t="shared" si="2"/>
        <v>11</v>
      </c>
      <c r="Q16" s="564" t="str">
        <f ca="1">IF(P16&gt;'Additional Input'!$E$11+1,"",IF('Additional Input'!$N$9="","",'Additional Input'!$N$9+Projections!A16)&amp;"/"&amp;IF('Additional Input'!$O$9="","",IF('Additional Input'!$O$9=0,"",'Additional Input'!$O$9+Projections!A16)))</f>
        <v>71/71</v>
      </c>
      <c r="R16" s="781">
        <f ca="1">IF($P16&gt;'Additional Input'!$E$11+1,"",+R15+1)</f>
        <v>2024</v>
      </c>
      <c r="S16" s="782">
        <f ca="1">IF($P16&gt;'Additional Input'!$E$11+1,"",S15*(1+'Additional Input'!$D$13))</f>
        <v>17407.240317525135</v>
      </c>
      <c r="T16" s="782">
        <f ca="1">IF($P16&gt;'Additional Input'!$E$11+1,"",ROUNDDOWN(S16,-3))</f>
        <v>17000</v>
      </c>
      <c r="U16" s="569">
        <f ca="1">IF($P16&gt;'Additional Input'!$E$11+1,"",IF(Calculator!$D$19=TRUE,Calculator!$D$18*IF(Calculator!$F$18=TRUE,2,1)*TaxTables!$T16,IF(P16&lt;Calculator!$H$19,Calculator!$F$19,0)))</f>
        <v>102000</v>
      </c>
      <c r="V16" s="783">
        <f ca="1">IF($P16&gt;'Additional Input'!$E$11+1,"",IF(P16&lt;Calculator!$H$20,IF(Calculator!$D$20=TRUE,-Calculator!$F$20,0),0)-IF(P16&lt;Calculator!$K$8,Calculator!$J$8,0))</f>
        <v>0</v>
      </c>
      <c r="W16" s="783">
        <f ca="1">IF($P16&gt;'Additional Input'!$E$11+1,"",U16+V16)</f>
        <v>102000</v>
      </c>
      <c r="X16" s="787">
        <f ca="1">IF($P16&gt;'Additional Input'!$E$11+1,"",(X15*(1+$X$4))+W16)</f>
        <v>1362190.9519129212</v>
      </c>
      <c r="Z16" s="788">
        <f ca="1">IF($P16&gt;'Additional Input'!$E$11+1,"",(Z15*(1+$Z$4))+U16+AA16)</f>
        <v>1362190.9519129212</v>
      </c>
      <c r="AA16" s="864">
        <f ca="1">IF($P16&gt;'Additional Input'!$E$11+1,"",-IF(P16&lt;Calculator!$K$8,Calculator!$J$8,0))</f>
        <v>0</v>
      </c>
      <c r="AC16" s="356">
        <f>IF('Additional Input'!N24=2011,5120000,ROUNDDOWN($AC$4*(1+$AC$3)^Projections!A17,-4))</f>
        <v>6650000</v>
      </c>
      <c r="AD16" s="786">
        <f>Calculator!$D$30</f>
        <v>0.4</v>
      </c>
      <c r="AE16" s="773">
        <v>83</v>
      </c>
      <c r="AF16" s="774">
        <v>16.3</v>
      </c>
    </row>
    <row r="17" spans="1:32">
      <c r="B17" s="777"/>
      <c r="C17" s="778"/>
      <c r="D17" s="757"/>
      <c r="E17" s="758"/>
      <c r="F17" s="777">
        <v>1500000</v>
      </c>
      <c r="G17" s="778"/>
      <c r="H17" s="778">
        <v>555800</v>
      </c>
      <c r="I17" s="757">
        <v>0.45</v>
      </c>
      <c r="J17" s="758"/>
      <c r="K17" s="777">
        <v>1500000</v>
      </c>
      <c r="L17" s="779">
        <f t="shared" si="0"/>
        <v>545800</v>
      </c>
      <c r="M17" s="762">
        <v>0.45</v>
      </c>
      <c r="N17" s="763">
        <f>IF(M17&lt;Calculator!$D$30,M17,Calculator!$D$30)</f>
        <v>0.4</v>
      </c>
      <c r="P17" s="780">
        <f t="shared" si="2"/>
        <v>12</v>
      </c>
      <c r="Q17" s="564" t="str">
        <f ca="1">IF(P17&gt;'Additional Input'!$E$11+1,"",IF('Additional Input'!$N$9="","",'Additional Input'!$N$9+Projections!A17)&amp;"/"&amp;IF('Additional Input'!$O$9="","",IF('Additional Input'!$O$9=0,"",'Additional Input'!$O$9+Projections!A17)))</f>
        <v>72/72</v>
      </c>
      <c r="R17" s="781">
        <f ca="1">IF($P17&gt;'Additional Input'!$E$11+1,"",+R16+1)</f>
        <v>2025</v>
      </c>
      <c r="S17" s="782">
        <f ca="1">IF($P17&gt;'Additional Input'!$E$11+1,"",S16*(1+'Additional Input'!$D$13))</f>
        <v>17755.385123875636</v>
      </c>
      <c r="T17" s="782">
        <f ca="1">IF($P17&gt;'Additional Input'!$E$11+1,"",ROUNDDOWN(S17,-3))</f>
        <v>17000</v>
      </c>
      <c r="U17" s="569">
        <f ca="1">IF($P17&gt;'Additional Input'!$E$11+1,"",IF(Calculator!$D$19=TRUE,Calculator!$D$18*IF(Calculator!$F$18=TRUE,2,1)*TaxTables!$T17,IF(P17&lt;Calculator!$H$19,Calculator!$F$19,0)))</f>
        <v>102000</v>
      </c>
      <c r="V17" s="783">
        <f ca="1">IF($P17&gt;'Additional Input'!$E$11+1,"",IF(P17&lt;Calculator!$H$20,IF(Calculator!$D$20=TRUE,-Calculator!$F$20,0),0)-IF(P17&lt;Calculator!$K$8,Calculator!$J$8,0))</f>
        <v>0</v>
      </c>
      <c r="W17" s="783">
        <f ca="1">IF($P17&gt;'Additional Input'!$E$11+1,"",U17+V17)</f>
        <v>102000</v>
      </c>
      <c r="X17" s="787">
        <f ca="1">IF($P17&gt;'Additional Input'!$E$11+1,"",(X16*(1+$X$4))+W17)</f>
        <v>1518678.589989438</v>
      </c>
      <c r="Z17" s="788">
        <f ca="1">IF($P17&gt;'Additional Input'!$E$11+1,"",(Z16*(1+$Z$4))+U17+AA17)</f>
        <v>1518678.589989438</v>
      </c>
      <c r="AA17" s="864">
        <f ca="1">IF($P17&gt;'Additional Input'!$E$11+1,"",-IF(P17&lt;Calculator!$K$8,Calculator!$J$8,0))</f>
        <v>0</v>
      </c>
      <c r="AC17" s="356">
        <f>IF('Additional Input'!N25=2011,5120000,ROUNDDOWN($AC$4*(1+$AC$3)^Projections!A18,-4))</f>
        <v>6790000</v>
      </c>
      <c r="AD17" s="786">
        <f>Calculator!$D$30</f>
        <v>0.4</v>
      </c>
      <c r="AE17" s="773">
        <v>84</v>
      </c>
      <c r="AF17" s="774">
        <v>15.5</v>
      </c>
    </row>
    <row r="18" spans="1:32">
      <c r="B18" s="777"/>
      <c r="C18" s="778"/>
      <c r="D18" s="757"/>
      <c r="E18" s="758"/>
      <c r="F18" s="777">
        <v>2000000</v>
      </c>
      <c r="G18" s="778"/>
      <c r="H18" s="778">
        <v>780800</v>
      </c>
      <c r="I18" s="757">
        <v>0.49</v>
      </c>
      <c r="J18" s="758"/>
      <c r="K18" s="777">
        <v>2000000</v>
      </c>
      <c r="L18" s="779">
        <f t="shared" si="0"/>
        <v>745800</v>
      </c>
      <c r="M18" s="762">
        <v>0.49</v>
      </c>
      <c r="N18" s="763">
        <f>IF(M18&lt;Calculator!$D$30,M18,Calculator!$D$30)</f>
        <v>0.4</v>
      </c>
      <c r="P18" s="780">
        <f t="shared" si="2"/>
        <v>13</v>
      </c>
      <c r="Q18" s="564" t="str">
        <f ca="1">IF(P18&gt;'Additional Input'!$E$11+1,"",IF('Additional Input'!$N$9="","",'Additional Input'!$N$9+Projections!A18)&amp;"/"&amp;IF('Additional Input'!$O$9="","",IF('Additional Input'!$O$9=0,"",'Additional Input'!$O$9+Projections!A18)))</f>
        <v>73/73</v>
      </c>
      <c r="R18" s="781">
        <f ca="1">IF($P18&gt;'Additional Input'!$E$11+1,"",+R17+1)</f>
        <v>2026</v>
      </c>
      <c r="S18" s="782">
        <f ca="1">IF($P18&gt;'Additional Input'!$E$11+1,"",S17*(1+'Additional Input'!$D$13))</f>
        <v>18110.492826353147</v>
      </c>
      <c r="T18" s="782">
        <f ca="1">IF($P18&gt;'Additional Input'!$E$11+1,"",ROUNDDOWN(S18,-3))</f>
        <v>18000</v>
      </c>
      <c r="U18" s="569">
        <f ca="1">IF($P18&gt;'Additional Input'!$E$11+1,"",IF(Calculator!$D$19=TRUE,Calculator!$D$18*IF(Calculator!$F$18=TRUE,2,1)*TaxTables!$T18,IF(P18&lt;Calculator!$H$19,Calculator!$F$19,0)))</f>
        <v>108000</v>
      </c>
      <c r="V18" s="783">
        <f ca="1">IF($P18&gt;'Additional Input'!$E$11+1,"",IF(P18&lt;Calculator!$H$20,IF(Calculator!$D$20=TRUE,-Calculator!$F$20,0),0)-IF(P18&lt;Calculator!$K$8,Calculator!$J$8,0))</f>
        <v>0</v>
      </c>
      <c r="W18" s="783">
        <f ca="1">IF($P18&gt;'Additional Input'!$E$11+1,"",U18+V18)</f>
        <v>108000</v>
      </c>
      <c r="X18" s="787">
        <f ca="1">IF($P18&gt;'Additional Input'!$E$11+1,"",(X17*(1+$X$4))+W18)</f>
        <v>1687425.7335890154</v>
      </c>
      <c r="Z18" s="788">
        <f ca="1">IF($P18&gt;'Additional Input'!$E$11+1,"",(Z17*(1+$Z$4))+U18+AA18)</f>
        <v>1687425.7335890154</v>
      </c>
      <c r="AA18" s="864">
        <f ca="1">IF($P18&gt;'Additional Input'!$E$11+1,"",-IF(P18&lt;Calculator!$K$8,Calculator!$J$8,0))</f>
        <v>0</v>
      </c>
      <c r="AC18" s="356">
        <f>IF('Additional Input'!N26=2011,5120000,ROUNDDOWN($AC$4*(1+$AC$3)^Projections!A19,-4))</f>
        <v>6920000</v>
      </c>
      <c r="AD18" s="786">
        <f>Calculator!$D$30</f>
        <v>0.4</v>
      </c>
      <c r="AE18" s="773">
        <v>85</v>
      </c>
      <c r="AF18" s="774">
        <v>14.8</v>
      </c>
    </row>
    <row r="19" spans="1:32">
      <c r="B19" s="777"/>
      <c r="C19" s="778"/>
      <c r="D19" s="757"/>
      <c r="E19" s="758"/>
      <c r="F19" s="777">
        <v>2500000</v>
      </c>
      <c r="G19" s="778"/>
      <c r="H19" s="778">
        <v>1025800</v>
      </c>
      <c r="I19" s="757">
        <v>0.53</v>
      </c>
      <c r="J19" s="758"/>
      <c r="K19" s="777">
        <v>2500000</v>
      </c>
      <c r="L19" s="779">
        <f t="shared" si="0"/>
        <v>945800</v>
      </c>
      <c r="M19" s="762">
        <v>0.53</v>
      </c>
      <c r="N19" s="763">
        <f>IF(M19&lt;Calculator!$D$30,M19,Calculator!$D$30)</f>
        <v>0.4</v>
      </c>
      <c r="P19" s="780">
        <f t="shared" si="2"/>
        <v>14</v>
      </c>
      <c r="Q19" s="564" t="str">
        <f ca="1">IF(P19&gt;'Additional Input'!$E$11+1,"",IF('Additional Input'!$N$9="","",'Additional Input'!$N$9+Projections!A19)&amp;"/"&amp;IF('Additional Input'!$O$9="","",IF('Additional Input'!$O$9=0,"",'Additional Input'!$O$9+Projections!A19)))</f>
        <v>74/74</v>
      </c>
      <c r="R19" s="781">
        <f ca="1">IF($P19&gt;'Additional Input'!$E$11+1,"",+R18+1)</f>
        <v>2027</v>
      </c>
      <c r="S19" s="782">
        <f ca="1">IF($P19&gt;'Additional Input'!$E$11+1,"",S18*(1+'Additional Input'!$D$13))</f>
        <v>18472.702682880212</v>
      </c>
      <c r="T19" s="782">
        <f ca="1">IF($P19&gt;'Additional Input'!$E$11+1,"",ROUNDDOWN(S19,-3))</f>
        <v>18000</v>
      </c>
      <c r="U19" s="569">
        <f ca="1">IF($P19&gt;'Additional Input'!$E$11+1,"",IF(Calculator!$D$19=TRUE,Calculator!$D$18*IF(Calculator!$F$18=TRUE,2,1)*TaxTables!$T19,IF(P19&lt;Calculator!$H$19,Calculator!$F$19,0)))</f>
        <v>108000</v>
      </c>
      <c r="V19" s="783">
        <f ca="1">IF($P19&gt;'Additional Input'!$E$11+1,"",IF(P19&lt;Calculator!$H$20,IF(Calculator!$D$20=TRUE,-Calculator!$F$20,0),0)-IF(P19&lt;Calculator!$K$8,Calculator!$J$8,0))</f>
        <v>0</v>
      </c>
      <c r="W19" s="783">
        <f ca="1">IF($P19&gt;'Additional Input'!$E$11+1,"",U19+V19)</f>
        <v>108000</v>
      </c>
      <c r="X19" s="787">
        <f ca="1">IF($P19&gt;'Additional Input'!$E$11+1,"",(X18*(1+$X$4))+W19)</f>
        <v>1862922.762932576</v>
      </c>
      <c r="Z19" s="788">
        <f ca="1">IF($P19&gt;'Additional Input'!$E$11+1,"",(Z18*(1+$Z$4))+U19+AA19)</f>
        <v>1862922.762932576</v>
      </c>
      <c r="AA19" s="864">
        <f ca="1">IF($P19&gt;'Additional Input'!$E$11+1,"",-IF(P19&lt;Calculator!$K$8,Calculator!$J$8,0))</f>
        <v>0</v>
      </c>
      <c r="AC19" s="356">
        <f>IF('Additional Input'!N27=2011,5120000,ROUNDDOWN($AC$4*(1+$AC$3)^Projections!A20,-4))</f>
        <v>7060000</v>
      </c>
      <c r="AD19" s="786">
        <f>Calculator!$D$30</f>
        <v>0.4</v>
      </c>
      <c r="AE19" s="789">
        <v>86</v>
      </c>
      <c r="AF19" s="790">
        <v>14.1</v>
      </c>
    </row>
    <row r="20" spans="1:32">
      <c r="B20" s="777"/>
      <c r="C20" s="778"/>
      <c r="D20" s="757"/>
      <c r="E20" s="758"/>
      <c r="F20" s="777">
        <v>3000000</v>
      </c>
      <c r="G20" s="778"/>
      <c r="H20" s="778">
        <v>1290800</v>
      </c>
      <c r="I20" s="763">
        <v>0.55000000000000004</v>
      </c>
      <c r="J20" s="758"/>
      <c r="K20" s="777">
        <v>3000000</v>
      </c>
      <c r="L20" s="779">
        <f t="shared" si="0"/>
        <v>1145800</v>
      </c>
      <c r="M20" s="762">
        <v>0.55000000000000004</v>
      </c>
      <c r="N20" s="763">
        <f>IF(M20&lt;Calculator!$D$30,M20,Calculator!$D$30)</f>
        <v>0.4</v>
      </c>
      <c r="P20" s="780">
        <f t="shared" si="2"/>
        <v>15</v>
      </c>
      <c r="Q20" s="564" t="str">
        <f ca="1">IF(P20&gt;'Additional Input'!$E$11+1,"",IF('Additional Input'!$N$9="","",'Additional Input'!$N$9+Projections!A20)&amp;"/"&amp;IF('Additional Input'!$O$9="","",IF('Additional Input'!$O$9=0,"",'Additional Input'!$O$9+Projections!A20)))</f>
        <v>75/75</v>
      </c>
      <c r="R20" s="781">
        <f ca="1">IF($P20&gt;'Additional Input'!$E$11+1,"",+R19+1)</f>
        <v>2028</v>
      </c>
      <c r="S20" s="782">
        <f ca="1">IF($P20&gt;'Additional Input'!$E$11+1,"",S19*(1+'Additional Input'!$D$13))</f>
        <v>18842.156736537818</v>
      </c>
      <c r="T20" s="782">
        <f ca="1">IF($P20&gt;'Additional Input'!$E$11+1,"",ROUNDDOWN(S20,-3))</f>
        <v>18000</v>
      </c>
      <c r="U20" s="569">
        <f ca="1">IF($P20&gt;'Additional Input'!$E$11+1,"",IF(Calculator!$D$19=TRUE,Calculator!$D$18*IF(Calculator!$F$18=TRUE,2,1)*TaxTables!$T20,IF(P20&lt;Calculator!$H$19,Calculator!$F$19,0)))</f>
        <v>108000</v>
      </c>
      <c r="V20" s="783">
        <f ca="1">IF($P20&gt;'Additional Input'!$E$11+1,"",IF(P20&lt;Calculator!$H$20,IF(Calculator!$D$20=TRUE,-Calculator!$F$20,0),0)-IF(P20&lt;Calculator!$K$8,Calculator!$J$8,0))</f>
        <v>0</v>
      </c>
      <c r="W20" s="783">
        <f ca="1">IF($P20&gt;'Additional Input'!$E$11+1,"",U20+V20)</f>
        <v>108000</v>
      </c>
      <c r="X20" s="787">
        <f ca="1">IF($P20&gt;'Additional Input'!$E$11+1,"",(X19*(1+$X$4))+W20)</f>
        <v>2045439.673449879</v>
      </c>
      <c r="Z20" s="788">
        <f ca="1">IF($P20&gt;'Additional Input'!$E$11+1,"",(Z19*(1+$Z$4))+U20+AA20)</f>
        <v>2045439.673449879</v>
      </c>
      <c r="AA20" s="864">
        <f ca="1">IF($P20&gt;'Additional Input'!$E$11+1,"",-IF(P20&lt;Calculator!$K$8,Calculator!$J$8,0))</f>
        <v>0</v>
      </c>
      <c r="AC20" s="356">
        <f>IF('Additional Input'!N28=2011,5120000,ROUNDDOWN($AC$4*(1+$AC$3)^Projections!A21,-4))</f>
        <v>7200000</v>
      </c>
      <c r="AD20" s="786">
        <f>Calculator!$D$30</f>
        <v>0.4</v>
      </c>
      <c r="AE20" s="773">
        <v>87</v>
      </c>
      <c r="AF20" s="774">
        <v>13.4</v>
      </c>
    </row>
    <row r="21" spans="1:32">
      <c r="B21" s="777"/>
      <c r="C21" s="778"/>
      <c r="D21" s="757"/>
      <c r="E21" s="758"/>
      <c r="F21" s="777">
        <v>10000000</v>
      </c>
      <c r="G21" s="778"/>
      <c r="H21" s="778">
        <v>5140800</v>
      </c>
      <c r="I21" s="757">
        <v>0.6</v>
      </c>
      <c r="J21" s="758"/>
      <c r="K21" s="777">
        <v>10000000</v>
      </c>
      <c r="L21" s="779">
        <f t="shared" si="0"/>
        <v>3945800</v>
      </c>
      <c r="M21" s="762">
        <v>0.6</v>
      </c>
      <c r="N21" s="763">
        <f>IF(M21&lt;Calculator!$D$30,M21,Calculator!$D$30)</f>
        <v>0.4</v>
      </c>
      <c r="P21" s="780">
        <f t="shared" si="2"/>
        <v>16</v>
      </c>
      <c r="Q21" s="564" t="str">
        <f ca="1">IF(P21&gt;'Additional Input'!$E$11+1,"",IF('Additional Input'!$N$9="","",'Additional Input'!$N$9+Projections!A21)&amp;"/"&amp;IF('Additional Input'!$O$9="","",IF('Additional Input'!$O$9=0,"",'Additional Input'!$O$9+Projections!A21)))</f>
        <v>76/76</v>
      </c>
      <c r="R21" s="781">
        <f ca="1">IF($P21&gt;'Additional Input'!$E$11+1,"",+R20+1)</f>
        <v>2029</v>
      </c>
      <c r="S21" s="782">
        <f ca="1">IF($P21&gt;'Additional Input'!$E$11+1,"",S20*(1+'Additional Input'!$D$13))</f>
        <v>19218.999871268574</v>
      </c>
      <c r="T21" s="782">
        <f ca="1">IF($P21&gt;'Additional Input'!$E$11+1,"",ROUNDDOWN(S21,-3))</f>
        <v>19000</v>
      </c>
      <c r="U21" s="569">
        <f ca="1">IF($P21&gt;'Additional Input'!$E$11+1,"",IF(Calculator!$D$19=TRUE,Calculator!$D$18*IF(Calculator!$F$18=TRUE,2,1)*TaxTables!$T21,IF(P21&lt;Calculator!$H$19,Calculator!$F$19,0)))</f>
        <v>114000</v>
      </c>
      <c r="V21" s="783">
        <f ca="1">IF($P21&gt;'Additional Input'!$E$11+1,"",IF(P21&lt;Calculator!$H$20,IF(Calculator!$D$20=TRUE,-Calculator!$F$20,0),0)-IF(P21&lt;Calculator!$K$8,Calculator!$J$8,0))</f>
        <v>0</v>
      </c>
      <c r="W21" s="783">
        <f ca="1">IF($P21&gt;'Additional Input'!$E$11+1,"",U21+V21)</f>
        <v>114000</v>
      </c>
      <c r="X21" s="787">
        <f ca="1">IF($P21&gt;'Additional Input'!$E$11+1,"",(X20*(1+$X$4))+W21)</f>
        <v>2241257.2603878742</v>
      </c>
      <c r="Z21" s="788">
        <f ca="1">IF($P21&gt;'Additional Input'!$E$11+1,"",(Z20*(1+$Z$4))+U21+AA21)</f>
        <v>2241257.2603878742</v>
      </c>
      <c r="AA21" s="864">
        <f ca="1">IF($P21&gt;'Additional Input'!$E$11+1,"",-IF(P21&lt;Calculator!$K$8,Calculator!$J$8,0))</f>
        <v>0</v>
      </c>
      <c r="AC21" s="356">
        <f>IF('Additional Input'!N29=2011,5120000,ROUNDDOWN($AC$4*(1+$AC$3)^Projections!A22,-4))</f>
        <v>7350000</v>
      </c>
      <c r="AD21" s="786">
        <f>Calculator!$D$30</f>
        <v>0.4</v>
      </c>
      <c r="AE21" s="773">
        <v>88</v>
      </c>
      <c r="AF21" s="774">
        <v>12.7</v>
      </c>
    </row>
    <row r="22" spans="1:32">
      <c r="B22" s="791"/>
      <c r="C22" s="792"/>
      <c r="D22" s="793"/>
      <c r="E22" s="794"/>
      <c r="F22" s="791">
        <v>17184000</v>
      </c>
      <c r="G22" s="795"/>
      <c r="H22" s="792">
        <v>9451200</v>
      </c>
      <c r="I22" s="793">
        <v>0.55000000000000004</v>
      </c>
      <c r="J22" s="758"/>
      <c r="K22" s="791">
        <v>17184000</v>
      </c>
      <c r="L22" s="796">
        <f t="shared" si="0"/>
        <v>6819400</v>
      </c>
      <c r="M22" s="797">
        <v>0.55000000000000004</v>
      </c>
      <c r="N22" s="798">
        <f>IF(M22&lt;Calculator!$D$30,M22,Calculator!$D$30)</f>
        <v>0.4</v>
      </c>
      <c r="P22" s="780">
        <f t="shared" si="2"/>
        <v>17</v>
      </c>
      <c r="Q22" s="564" t="str">
        <f ca="1">IF(P22&gt;'Additional Input'!$E$11+1,"",IF('Additional Input'!$N$9="","",'Additional Input'!$N$9+Projections!A22)&amp;"/"&amp;IF('Additional Input'!$O$9="","",IF('Additional Input'!$O$9=0,"",'Additional Input'!$O$9+Projections!A22)))</f>
        <v>77/77</v>
      </c>
      <c r="R22" s="781">
        <f ca="1">IF($P22&gt;'Additional Input'!$E$11+1,"",+R21+1)</f>
        <v>2030</v>
      </c>
      <c r="S22" s="782">
        <f ca="1">IF($P22&gt;'Additional Input'!$E$11+1,"",S21*(1+'Additional Input'!$D$13))</f>
        <v>19603.379868693944</v>
      </c>
      <c r="T22" s="782">
        <f ca="1">IF($P22&gt;'Additional Input'!$E$11+1,"",ROUNDDOWN(S22,-3))</f>
        <v>19000</v>
      </c>
      <c r="U22" s="569">
        <f ca="1">IF($P22&gt;'Additional Input'!$E$11+1,"",IF(Calculator!$D$19=TRUE,Calculator!$D$18*IF(Calculator!$F$18=TRUE,2,1)*TaxTables!$T22,IF(P22&lt;Calculator!$H$19,Calculator!$F$19,0)))</f>
        <v>114000</v>
      </c>
      <c r="V22" s="783">
        <f ca="1">IF($P22&gt;'Additional Input'!$E$11+1,"",IF(P22&lt;Calculator!$H$20,IF(Calculator!$D$20=TRUE,-Calculator!$F$20,0),0)-IF(P22&lt;Calculator!$K$8,Calculator!$J$8,0))</f>
        <v>0</v>
      </c>
      <c r="W22" s="783">
        <f ca="1">IF($P22&gt;'Additional Input'!$E$11+1,"",U22+V22)</f>
        <v>114000</v>
      </c>
      <c r="X22" s="787">
        <f ca="1">IF($P22&gt;'Additional Input'!$E$11+1,"",(X21*(1+$X$4))+W22)</f>
        <v>2444907.5508033894</v>
      </c>
      <c r="Z22" s="788">
        <f ca="1">IF($P22&gt;'Additional Input'!$E$11+1,"",(Z21*(1+$Z$4))+U22+AA22)</f>
        <v>2444907.5508033894</v>
      </c>
      <c r="AA22" s="864">
        <f ca="1">IF($P22&gt;'Additional Input'!$E$11+1,"",-IF(P22&lt;Calculator!$K$8,Calculator!$J$8,0))</f>
        <v>0</v>
      </c>
      <c r="AC22" s="356">
        <f>IF('Additional Input'!N30=2011,5120000,ROUNDDOWN($AC$4*(1+$AC$3)^Projections!A23,-4))</f>
        <v>7490000</v>
      </c>
      <c r="AD22" s="786">
        <f>Calculator!$D$30</f>
        <v>0.4</v>
      </c>
      <c r="AE22" s="773">
        <v>89</v>
      </c>
      <c r="AF22" s="774">
        <v>12</v>
      </c>
    </row>
    <row r="23" spans="1:32">
      <c r="M23" s="138"/>
      <c r="P23" s="780">
        <f t="shared" si="2"/>
        <v>18</v>
      </c>
      <c r="Q23" s="564" t="str">
        <f ca="1">IF(P23&gt;'Additional Input'!$E$11+1,"",IF('Additional Input'!$N$9="","",'Additional Input'!$N$9+Projections!A23)&amp;"/"&amp;IF('Additional Input'!$O$9="","",IF('Additional Input'!$O$9=0,"",'Additional Input'!$O$9+Projections!A23)))</f>
        <v>78/78</v>
      </c>
      <c r="R23" s="781">
        <f ca="1">IF($P23&gt;'Additional Input'!$E$11+1,"",+R22+1)</f>
        <v>2031</v>
      </c>
      <c r="S23" s="782">
        <f ca="1">IF($P23&gt;'Additional Input'!$E$11+1,"",S22*(1+'Additional Input'!$D$13))</f>
        <v>19995.447466067824</v>
      </c>
      <c r="T23" s="782">
        <f ca="1">IF($P23&gt;'Additional Input'!$E$11+1,"",ROUNDDOWN(S23,-3))</f>
        <v>19000</v>
      </c>
      <c r="U23" s="569">
        <f ca="1">IF($P23&gt;'Additional Input'!$E$11+1,"",IF(Calculator!$D$19=TRUE,Calculator!$D$18*IF(Calculator!$F$18=TRUE,2,1)*TaxTables!$T23,IF(P23&lt;Calculator!$H$19,Calculator!$F$19,0)))</f>
        <v>114000</v>
      </c>
      <c r="V23" s="783">
        <f ca="1">IF($P23&gt;'Additional Input'!$E$11+1,"",IF(P23&lt;Calculator!$H$20,IF(Calculator!$D$20=TRUE,-Calculator!$F$20,0),0)-IF(P23&lt;Calculator!$K$8,Calculator!$J$8,0))</f>
        <v>0</v>
      </c>
      <c r="W23" s="783">
        <f ca="1">IF($P23&gt;'Additional Input'!$E$11+1,"",U23+V23)</f>
        <v>114000</v>
      </c>
      <c r="X23" s="787">
        <f ca="1">IF($P23&gt;'Additional Input'!$E$11+1,"",(X22*(1+$X$4))+W23)</f>
        <v>2656703.8528355253</v>
      </c>
      <c r="Z23" s="788">
        <f ca="1">IF($P23&gt;'Additional Input'!$E$11+1,"",(Z22*(1+$Z$4))+U23+AA23)</f>
        <v>2656703.8528355253</v>
      </c>
      <c r="AA23" s="864">
        <f ca="1">IF($P23&gt;'Additional Input'!$E$11+1,"",-IF(P23&lt;Calculator!$K$8,Calculator!$J$8,0))</f>
        <v>0</v>
      </c>
      <c r="AC23" s="356">
        <f>IF('Additional Input'!N31=2011,5120000,ROUNDDOWN($AC$4*(1+$AC$3)^Projections!A24,-4))</f>
        <v>7640000</v>
      </c>
      <c r="AD23" s="786">
        <f>Calculator!$D$30</f>
        <v>0.4</v>
      </c>
      <c r="AE23" s="773">
        <v>90</v>
      </c>
      <c r="AF23" s="774">
        <v>11.4</v>
      </c>
    </row>
    <row r="24" spans="1:32" ht="15.75">
      <c r="A24" s="1144" t="s">
        <v>241</v>
      </c>
      <c r="B24" s="1144"/>
      <c r="C24" s="1144"/>
      <c r="D24" s="1144"/>
      <c r="E24" s="138"/>
      <c r="F24" s="112"/>
      <c r="P24" s="780">
        <f t="shared" si="2"/>
        <v>19</v>
      </c>
      <c r="Q24" s="564" t="str">
        <f ca="1">IF(P24&gt;'Additional Input'!$E$11+1,"",IF('Additional Input'!$N$9="","",'Additional Input'!$N$9+Projections!A24)&amp;"/"&amp;IF('Additional Input'!$O$9="","",IF('Additional Input'!$O$9=0,"",'Additional Input'!$O$9+Projections!A24)))</f>
        <v>79/79</v>
      </c>
      <c r="R24" s="781">
        <f ca="1">IF($P24&gt;'Additional Input'!$E$11+1,"",+R23+1)</f>
        <v>2032</v>
      </c>
      <c r="S24" s="782">
        <f ca="1">IF($P24&gt;'Additional Input'!$E$11+1,"",S23*(1+'Additional Input'!$D$13))</f>
        <v>20395.356415389182</v>
      </c>
      <c r="T24" s="782">
        <f ca="1">IF($P24&gt;'Additional Input'!$E$11+1,"",ROUNDDOWN(S24,-3))</f>
        <v>20000</v>
      </c>
      <c r="U24" s="569">
        <f ca="1">IF($P24&gt;'Additional Input'!$E$11+1,"",IF(Calculator!$D$19=TRUE,Calculator!$D$18*IF(Calculator!$F$18=TRUE,2,1)*TaxTables!$T24,IF(P24&lt;Calculator!$H$19,Calculator!$F$19,0)))</f>
        <v>120000</v>
      </c>
      <c r="V24" s="783">
        <f ca="1">IF($P24&gt;'Additional Input'!$E$11+1,"",IF(P24&lt;Calculator!$H$20,IF(Calculator!$D$20=TRUE,-Calculator!$F$20,0),0)-IF(P24&lt;Calculator!$K$8,Calculator!$J$8,0))</f>
        <v>0</v>
      </c>
      <c r="W24" s="783">
        <f ca="1">IF($P24&gt;'Additional Input'!$E$11+1,"",U24+V24)</f>
        <v>120000</v>
      </c>
      <c r="X24" s="787">
        <f ca="1">IF($P24&gt;'Additional Input'!$E$11+1,"",(X23*(1+$X$4))+W24)</f>
        <v>2882972.0069489465</v>
      </c>
      <c r="Z24" s="788">
        <f ca="1">IF($P24&gt;'Additional Input'!$E$11+1,"",(Z23*(1+$Z$4))+U24+AA24)</f>
        <v>2882972.0069489465</v>
      </c>
      <c r="AA24" s="864">
        <f ca="1">IF($P24&gt;'Additional Input'!$E$11+1,"",-IF(P24&lt;Calculator!$K$8,Calculator!$J$8,0))</f>
        <v>0</v>
      </c>
      <c r="AC24" s="356">
        <f>IF('Additional Input'!N32=2011,5120000,ROUNDDOWN($AC$4*(1+$AC$3)^Projections!A25,-4))</f>
        <v>7800000</v>
      </c>
      <c r="AD24" s="786">
        <f>Calculator!$D$30</f>
        <v>0.4</v>
      </c>
      <c r="AE24" s="789">
        <v>91</v>
      </c>
      <c r="AF24" s="790">
        <v>10.8</v>
      </c>
    </row>
    <row r="25" spans="1:32">
      <c r="A25" s="799"/>
      <c r="B25" s="130" t="s">
        <v>242</v>
      </c>
      <c r="C25" s="131"/>
      <c r="P25" s="780">
        <f t="shared" si="2"/>
        <v>20</v>
      </c>
      <c r="Q25" s="564" t="str">
        <f ca="1">IF(P25&gt;'Additional Input'!$E$11+1,"",IF('Additional Input'!$N$9="","",'Additional Input'!$N$9+Projections!A25)&amp;"/"&amp;IF('Additional Input'!$O$9="","",IF('Additional Input'!$O$9=0,"",'Additional Input'!$O$9+Projections!A25)))</f>
        <v>80/80</v>
      </c>
      <c r="R25" s="781">
        <f ca="1">IF($P25&gt;'Additional Input'!$E$11+1,"",+R24+1)</f>
        <v>2033</v>
      </c>
      <c r="S25" s="782">
        <f ca="1">IF($P25&gt;'Additional Input'!$E$11+1,"",S24*(1+'Additional Input'!$D$13))</f>
        <v>20803.263543696965</v>
      </c>
      <c r="T25" s="782">
        <f ca="1">IF($P25&gt;'Additional Input'!$E$11+1,"",ROUNDDOWN(S25,-3))</f>
        <v>20000</v>
      </c>
      <c r="U25" s="569">
        <f ca="1">IF($P25&gt;'Additional Input'!$E$11+1,"",IF(Calculator!$D$19=TRUE,Calculator!$D$18*IF(Calculator!$F$18=TRUE,2,1)*TaxTables!$T25,IF(P25&lt;Calculator!$H$19,Calculator!$F$19,0)))</f>
        <v>120000</v>
      </c>
      <c r="V25" s="783">
        <f ca="1">IF($P25&gt;'Additional Input'!$E$11+1,"",IF(P25&lt;Calculator!$H$20,IF(Calculator!$D$20=TRUE,-Calculator!$F$20,0),0)-IF(P25&lt;Calculator!$K$8,Calculator!$J$8,0))</f>
        <v>0</v>
      </c>
      <c r="W25" s="783">
        <f ca="1">IF($P25&gt;'Additional Input'!$E$11+1,"",U25+V25)</f>
        <v>120000</v>
      </c>
      <c r="X25" s="787">
        <f ca="1">IF($P25&gt;'Additional Input'!$E$11+1,"",(X24*(1+$X$4))+W25)</f>
        <v>3118290.8872269043</v>
      </c>
      <c r="Z25" s="788">
        <f ca="1">IF($P25&gt;'Additional Input'!$E$11+1,"",(Z24*(1+$Z$4))+U25+AA25)</f>
        <v>3118290.8872269043</v>
      </c>
      <c r="AA25" s="864">
        <f ca="1">IF($P25&gt;'Additional Input'!$E$11+1,"",-IF(P25&lt;Calculator!$K$8,Calculator!$J$8,0))</f>
        <v>0</v>
      </c>
      <c r="AC25" s="356">
        <f>IF('Additional Input'!N33=2011,5120000,ROUNDDOWN($AC$4*(1+$AC$3)^Projections!A26,-4))</f>
        <v>7950000</v>
      </c>
      <c r="AD25" s="786">
        <f>Calculator!$D$30</f>
        <v>0.4</v>
      </c>
      <c r="AE25" s="773">
        <v>92</v>
      </c>
      <c r="AF25" s="774">
        <v>10.199999999999999</v>
      </c>
    </row>
    <row r="26" spans="1:32">
      <c r="A26" s="799"/>
      <c r="B26" s="132">
        <f>'Additional Input'!D29</f>
        <v>0</v>
      </c>
      <c r="C26" s="133"/>
      <c r="E26" s="800"/>
      <c r="P26" s="780">
        <f t="shared" si="2"/>
        <v>21</v>
      </c>
      <c r="Q26" s="564" t="str">
        <f ca="1">IF(P26&gt;'Additional Input'!$E$11+1,"",IF('Additional Input'!$N$9="","",'Additional Input'!$N$9+Projections!A26)&amp;"/"&amp;IF('Additional Input'!$O$9="","",IF('Additional Input'!$O$9=0,"",'Additional Input'!$O$9+Projections!A26)))</f>
        <v>81/81</v>
      </c>
      <c r="R26" s="781">
        <f ca="1">IF($P26&gt;'Additional Input'!$E$11+1,"",+R25+1)</f>
        <v>2034</v>
      </c>
      <c r="S26" s="782">
        <f ca="1">IF($P26&gt;'Additional Input'!$E$11+1,"",S25*(1+'Additional Input'!$D$13))</f>
        <v>21219.328814570905</v>
      </c>
      <c r="T26" s="782">
        <f ca="1">IF($P26&gt;'Additional Input'!$E$11+1,"",ROUNDDOWN(S26,-3))</f>
        <v>21000</v>
      </c>
      <c r="U26" s="569">
        <f ca="1">IF($P26&gt;'Additional Input'!$E$11+1,"",IF(Calculator!$D$19=TRUE,Calculator!$D$18*IF(Calculator!$F$18=TRUE,2,1)*TaxTables!$T26,IF(P26&lt;Calculator!$H$19,Calculator!$F$19,0)))</f>
        <v>126000</v>
      </c>
      <c r="V26" s="783">
        <f ca="1">IF($P26&gt;'Additional Input'!$E$11+1,"",IF(P26&lt;Calculator!$H$20,IF(Calculator!$D$20=TRUE,-Calculator!$F$20,0),0)-IF(P26&lt;Calculator!$K$8,Calculator!$J$8,0))</f>
        <v>0</v>
      </c>
      <c r="W26" s="783">
        <f ca="1">IF($P26&gt;'Additional Input'!$E$11+1,"",U26+V26)</f>
        <v>126000</v>
      </c>
      <c r="X26" s="787">
        <f ca="1">IF($P26&gt;'Additional Input'!$E$11+1,"",(X25*(1+$X$4))+W26)</f>
        <v>3369022.5227159807</v>
      </c>
      <c r="Z26" s="788">
        <f ca="1">IF($P26&gt;'Additional Input'!$E$11+1,"",(Z25*(1+$Z$4))+U26+AA26)</f>
        <v>3369022.5227159807</v>
      </c>
      <c r="AA26" s="864">
        <f ca="1">IF($P26&gt;'Additional Input'!$E$11+1,"",-IF(P26&lt;Calculator!$K$8,Calculator!$J$8,0))</f>
        <v>0</v>
      </c>
      <c r="AC26" s="356">
        <f>IF('Additional Input'!N34=2011,5120000,ROUNDDOWN($AC$4*(1+$AC$3)^Projections!A27,-4))</f>
        <v>8110000</v>
      </c>
      <c r="AD26" s="786">
        <f>Calculator!$D$30</f>
        <v>0.4</v>
      </c>
      <c r="AE26" s="773">
        <v>93</v>
      </c>
      <c r="AF26" s="774">
        <v>9.6</v>
      </c>
    </row>
    <row r="27" spans="1:32" ht="18" customHeight="1">
      <c r="A27" s="799"/>
      <c r="B27" s="134">
        <f>'Additional Input'!F29</f>
        <v>0.04</v>
      </c>
      <c r="C27" s="133"/>
      <c r="P27" s="780">
        <f t="shared" si="2"/>
        <v>22</v>
      </c>
      <c r="Q27" s="564" t="str">
        <f ca="1">IF(P27&gt;'Additional Input'!$E$11+1,"",IF('Additional Input'!$N$9="","",'Additional Input'!$N$9+Projections!A27)&amp;"/"&amp;IF('Additional Input'!$O$9="","",IF('Additional Input'!$O$9=0,"",'Additional Input'!$O$9+Projections!A27)))</f>
        <v>82/82</v>
      </c>
      <c r="R27" s="781">
        <f ca="1">IF($P27&gt;'Additional Input'!$E$11+1,"",+R26+1)</f>
        <v>2035</v>
      </c>
      <c r="S27" s="782">
        <f ca="1">IF($P27&gt;'Additional Input'!$E$11+1,"",S26*(1+'Additional Input'!$D$13))</f>
        <v>21643.715390862322</v>
      </c>
      <c r="T27" s="782">
        <f ca="1">IF($P27&gt;'Additional Input'!$E$11+1,"",ROUNDDOWN(S27,-3))</f>
        <v>21000</v>
      </c>
      <c r="U27" s="569">
        <f ca="1">IF($P27&gt;'Additional Input'!$E$11+1,"",IF(Calculator!$D$19=TRUE,Calculator!$D$18*IF(Calculator!$F$18=TRUE,2,1)*TaxTables!$T27,IF(P27&lt;Calculator!$H$19,Calculator!$F$19,0)))</f>
        <v>126000</v>
      </c>
      <c r="V27" s="783">
        <f ca="1">IF($P27&gt;'Additional Input'!$E$11+1,"",IF(P27&lt;Calculator!$H$20,IF(Calculator!$D$20=TRUE,-Calculator!$F$20,0),0)-IF(P27&lt;Calculator!$K$8,Calculator!$J$8,0))</f>
        <v>0</v>
      </c>
      <c r="W27" s="783">
        <f ca="1">IF($P27&gt;'Additional Input'!$E$11+1,"",U27+V27)</f>
        <v>126000</v>
      </c>
      <c r="X27" s="787">
        <f ca="1">IF($P27&gt;'Additional Input'!$E$11+1,"",(X26*(1+$X$4))+W27)</f>
        <v>3629783.4236246198</v>
      </c>
      <c r="Z27" s="788">
        <f ca="1">IF($P27&gt;'Additional Input'!$E$11+1,"",(Z26*(1+$Z$4))+U27+AA27)</f>
        <v>3629783.4236246198</v>
      </c>
      <c r="AA27" s="864">
        <f ca="1">IF($P27&gt;'Additional Input'!$E$11+1,"",-IF(P27&lt;Calculator!$K$8,Calculator!$J$8,0))</f>
        <v>0</v>
      </c>
      <c r="AC27" s="356">
        <f>IF('Additional Input'!N35=2011,5120000,ROUNDDOWN($AC$4*(1+$AC$3)^Projections!A28,-4))</f>
        <v>8270000</v>
      </c>
      <c r="AD27" s="786">
        <f>Calculator!$D$30</f>
        <v>0.4</v>
      </c>
      <c r="AE27" s="773">
        <v>94</v>
      </c>
      <c r="AF27" s="774">
        <v>9.1</v>
      </c>
    </row>
    <row r="28" spans="1:32" ht="15" customHeight="1">
      <c r="A28" s="799"/>
      <c r="B28" s="135">
        <f>'Additional Input'!H29*12</f>
        <v>180</v>
      </c>
      <c r="P28" s="780">
        <f t="shared" si="2"/>
        <v>23</v>
      </c>
      <c r="Q28" s="564" t="str">
        <f ca="1">IF(P28&gt;'Additional Input'!$E$11+1,"",IF('Additional Input'!$N$9="","",'Additional Input'!$N$9+Projections!A28)&amp;"/"&amp;IF('Additional Input'!$O$9="","",IF('Additional Input'!$O$9=0,"",'Additional Input'!$O$9+Projections!A28)))</f>
        <v>83/83</v>
      </c>
      <c r="R28" s="781">
        <f ca="1">IF($P28&gt;'Additional Input'!$E$11+1,"",+R27+1)</f>
        <v>2036</v>
      </c>
      <c r="S28" s="782">
        <f ca="1">IF($P28&gt;'Additional Input'!$E$11+1,"",S27*(1+'Additional Input'!$D$13))</f>
        <v>22076.589698679571</v>
      </c>
      <c r="T28" s="782">
        <f ca="1">IF($P28&gt;'Additional Input'!$E$11+1,"",ROUNDDOWN(S28,-3))</f>
        <v>22000</v>
      </c>
      <c r="U28" s="569">
        <f ca="1">IF($P28&gt;'Additional Input'!$E$11+1,"",IF(Calculator!$D$19=TRUE,Calculator!$D$18*IF(Calculator!$F$18=TRUE,2,1)*TaxTables!$T28,IF(P28&lt;Calculator!$H$19,Calculator!$F$19,0)))</f>
        <v>132000</v>
      </c>
      <c r="V28" s="783">
        <f ca="1">IF($P28&gt;'Additional Input'!$E$11+1,"",IF(P28&lt;Calculator!$H$20,IF(Calculator!$D$20=TRUE,-Calculator!$F$20,0),0)-IF(P28&lt;Calculator!$K$8,Calculator!$J$8,0))</f>
        <v>0</v>
      </c>
      <c r="W28" s="783">
        <f ca="1">IF($P28&gt;'Additional Input'!$E$11+1,"",U28+V28)</f>
        <v>132000</v>
      </c>
      <c r="X28" s="787">
        <f ca="1">IF($P28&gt;'Additional Input'!$E$11+1,"",(X27*(1+$X$4))+W28)</f>
        <v>3906974.7605696046</v>
      </c>
      <c r="Z28" s="788">
        <f ca="1">IF($P28&gt;'Additional Input'!$E$11+1,"",(Z27*(1+$Z$4))+U28+AA28)</f>
        <v>3906974.7605696046</v>
      </c>
      <c r="AA28" s="864">
        <f ca="1">IF($P28&gt;'Additional Input'!$E$11+1,"",-IF(P28&lt;Calculator!$K$8,Calculator!$J$8,0))</f>
        <v>0</v>
      </c>
      <c r="AC28" s="356">
        <f>IF('Additional Input'!N36=2011,5120000,ROUNDDOWN($AC$4*(1+$AC$3)^Projections!A29,-4))</f>
        <v>8440000</v>
      </c>
      <c r="AD28" s="786">
        <f>Calculator!$D$30</f>
        <v>0.4</v>
      </c>
      <c r="AE28" s="773">
        <v>95</v>
      </c>
      <c r="AF28" s="774">
        <v>8.6</v>
      </c>
    </row>
    <row r="29" spans="1:32">
      <c r="A29" s="799"/>
      <c r="B29" s="137">
        <f>IF($B$28=0,0,-PMT($B$27/12,$B$28,$B$26))</f>
        <v>0</v>
      </c>
      <c r="C29" s="130" t="s">
        <v>247</v>
      </c>
      <c r="D29" s="130" t="s">
        <v>248</v>
      </c>
      <c r="P29" s="780">
        <f t="shared" si="2"/>
        <v>24</v>
      </c>
      <c r="Q29" s="564" t="str">
        <f ca="1">IF(P29&gt;'Additional Input'!$E$11+1,"",IF('Additional Input'!$N$9="","",'Additional Input'!$N$9+Projections!A29)&amp;"/"&amp;IF('Additional Input'!$O$9="","",IF('Additional Input'!$O$9=0,"",'Additional Input'!$O$9+Projections!A29)))</f>
        <v>84/84</v>
      </c>
      <c r="R29" s="781">
        <f ca="1">IF($P29&gt;'Additional Input'!$E$11+1,"",+R28+1)</f>
        <v>2037</v>
      </c>
      <c r="S29" s="782">
        <f ca="1">IF($P29&gt;'Additional Input'!$E$11+1,"",S28*(1+'Additional Input'!$D$13))</f>
        <v>22518.121492653161</v>
      </c>
      <c r="T29" s="782">
        <f ca="1">IF($P29&gt;'Additional Input'!$E$11+1,"",ROUNDDOWN(S29,-3))</f>
        <v>22000</v>
      </c>
      <c r="U29" s="569">
        <f ca="1">IF($P29&gt;'Additional Input'!$E$11+1,"",IF(Calculator!$D$19=TRUE,Calculator!$D$18*IF(Calculator!$F$18=TRUE,2,1)*TaxTables!$T29,IF(P29&lt;Calculator!$H$19,Calculator!$F$19,0)))</f>
        <v>132000</v>
      </c>
      <c r="V29" s="783">
        <f ca="1">IF($P29&gt;'Additional Input'!$E$11+1,"",IF(P29&lt;Calculator!$H$20,IF(Calculator!$D$20=TRUE,-Calculator!$F$20,0),0)-IF(P29&lt;Calculator!$K$8,Calculator!$J$8,0))</f>
        <v>0</v>
      </c>
      <c r="W29" s="783">
        <f ca="1">IF($P29&gt;'Additional Input'!$E$11+1,"",U29+V29)</f>
        <v>132000</v>
      </c>
      <c r="X29" s="787">
        <f ca="1">IF($P29&gt;'Additional Input'!$E$11+1,"",(X28*(1+$X$4))+W29)</f>
        <v>4195253.7509923894</v>
      </c>
      <c r="Z29" s="788">
        <f ca="1">IF($P29&gt;'Additional Input'!$E$11+1,"",(Z28*(1+$Z$4))+U29+AA29)</f>
        <v>4195253.7509923894</v>
      </c>
      <c r="AA29" s="864">
        <f ca="1">IF($P29&gt;'Additional Input'!$E$11+1,"",-IF(P29&lt;Calculator!$K$8,Calculator!$J$8,0))</f>
        <v>0</v>
      </c>
      <c r="AC29" s="356">
        <f>IF('Additional Input'!N37=2011,5120000,ROUNDDOWN($AC$4*(1+$AC$3)^Projections!A30,-4))</f>
        <v>8610000</v>
      </c>
      <c r="AD29" s="786">
        <f>Calculator!$D$30</f>
        <v>0.4</v>
      </c>
      <c r="AE29" s="789">
        <v>96</v>
      </c>
      <c r="AF29" s="790">
        <v>8.1</v>
      </c>
    </row>
    <row r="30" spans="1:32">
      <c r="A30" s="799">
        <v>0</v>
      </c>
      <c r="B30" s="801">
        <f>+B26</f>
        <v>0</v>
      </c>
      <c r="C30" s="801">
        <f t="shared" ref="C30:C93" si="3">IF(B30&gt;$B$29,$B$29,B30)</f>
        <v>0</v>
      </c>
      <c r="O30" s="271"/>
      <c r="P30" s="780">
        <f t="shared" si="2"/>
        <v>25</v>
      </c>
      <c r="Q30" s="564" t="str">
        <f ca="1">IF(P30&gt;'Additional Input'!$E$11+1,"",IF('Additional Input'!$N$9="","",'Additional Input'!$N$9+Projections!A30)&amp;"/"&amp;IF('Additional Input'!$O$9="","",IF('Additional Input'!$O$9=0,"",'Additional Input'!$O$9+Projections!A30)))</f>
        <v>85/85</v>
      </c>
      <c r="R30" s="781">
        <f ca="1">IF($P30&gt;'Additional Input'!$E$11+1,"",+R29+1)</f>
        <v>2038</v>
      </c>
      <c r="S30" s="782">
        <f ca="1">IF($P30&gt;'Additional Input'!$E$11+1,"",S29*(1+'Additional Input'!$D$13))</f>
        <v>22968.483922506224</v>
      </c>
      <c r="T30" s="782">
        <f ca="1">IF($P30&gt;'Additional Input'!$E$11+1,"",ROUNDDOWN(S30,-3))</f>
        <v>22000</v>
      </c>
      <c r="U30" s="569">
        <f ca="1">IF($P30&gt;'Additional Input'!$E$11+1,"",IF(Calculator!$D$19=TRUE,Calculator!$D$18*IF(Calculator!$F$18=TRUE,2,1)*TaxTables!$T30,IF(P30&lt;Calculator!$H$19,Calculator!$F$19,0)))</f>
        <v>132000</v>
      </c>
      <c r="V30" s="783">
        <f ca="1">IF($P30&gt;'Additional Input'!$E$11+1,"",IF(P30&lt;Calculator!$H$20,IF(Calculator!$D$20=TRUE,-Calculator!$F$20,0),0)-IF(P30&lt;Calculator!$K$8,Calculator!$J$8,0))</f>
        <v>0</v>
      </c>
      <c r="W30" s="783">
        <f ca="1">IF($P30&gt;'Additional Input'!$E$11+1,"",U30+V30)</f>
        <v>132000</v>
      </c>
      <c r="X30" s="787">
        <f ca="1">IF($P30&gt;'Additional Input'!$E$11+1,"",(X29*(1+$X$4))+W30)</f>
        <v>4495063.9010320855</v>
      </c>
      <c r="Z30" s="788">
        <f ca="1">IF($P30&gt;'Additional Input'!$E$11+1,"",(Z29*(1+$Z$4))+U30+AA30)</f>
        <v>4495063.9010320855</v>
      </c>
      <c r="AA30" s="864">
        <f ca="1">IF($P30&gt;'Additional Input'!$E$11+1,"",-IF(P30&lt;Calculator!$K$8,Calculator!$J$8,0))</f>
        <v>0</v>
      </c>
      <c r="AC30" s="356">
        <f>IF('Additional Input'!N38=2011,5120000,ROUNDDOWN($AC$4*(1+$AC$3)^Projections!A31,-4))</f>
        <v>8780000</v>
      </c>
      <c r="AD30" s="786">
        <f>Calculator!$D$30</f>
        <v>0.4</v>
      </c>
      <c r="AE30" s="773">
        <v>97</v>
      </c>
      <c r="AF30" s="774">
        <v>7.6</v>
      </c>
    </row>
    <row r="31" spans="1:32">
      <c r="A31" s="799">
        <f t="shared" ref="A31:A62" si="4">A30+1</f>
        <v>1</v>
      </c>
      <c r="B31" s="801">
        <f t="shared" ref="B31:B94" si="5">IF((B30*(1+($B$27)/12))-$B$29&lt;0,0,(B30*(1+($B$27)/12))-$B$29)</f>
        <v>0</v>
      </c>
      <c r="C31" s="801">
        <f t="shared" si="3"/>
        <v>0</v>
      </c>
      <c r="D31" s="802">
        <f>SUM(C30:C41)</f>
        <v>0</v>
      </c>
      <c r="O31" s="271"/>
      <c r="P31" s="780">
        <f t="shared" si="2"/>
        <v>26</v>
      </c>
      <c r="Q31" s="564" t="str">
        <f ca="1">IF(P31&gt;'Additional Input'!$E$11+1,"",IF('Additional Input'!$N$9="","",'Additional Input'!$N$9+Projections!A31)&amp;"/"&amp;IF('Additional Input'!$O$9="","",IF('Additional Input'!$O$9=0,"",'Additional Input'!$O$9+Projections!A31)))</f>
        <v>86/86</v>
      </c>
      <c r="R31" s="781">
        <f ca="1">IF($P31&gt;'Additional Input'!$E$11+1,"",+R30+1)</f>
        <v>2039</v>
      </c>
      <c r="S31" s="782">
        <f ca="1">IF($P31&gt;'Additional Input'!$E$11+1,"",S30*(1+'Additional Input'!$D$13))</f>
        <v>23427.85360095635</v>
      </c>
      <c r="T31" s="782">
        <f ca="1">IF($P31&gt;'Additional Input'!$E$11+1,"",ROUNDDOWN(S31,-3))</f>
        <v>23000</v>
      </c>
      <c r="U31" s="569">
        <f ca="1">IF($P31&gt;'Additional Input'!$E$11+1,"",IF(Calculator!$D$19=TRUE,Calculator!$D$18*IF(Calculator!$F$18=TRUE,2,1)*TaxTables!$T31,IF(P31&lt;Calculator!$H$19,Calculator!$F$19,0)))</f>
        <v>138000</v>
      </c>
      <c r="V31" s="783">
        <f ca="1">IF($P31&gt;'Additional Input'!$E$11+1,"",IF(P31&lt;Calculator!$H$20,IF(Calculator!$D$20=TRUE,-Calculator!$F$20,0),0)-IF(P31&lt;Calculator!$K$8,Calculator!$J$8,0))</f>
        <v>0</v>
      </c>
      <c r="W31" s="783">
        <f ca="1">IF($P31&gt;'Additional Input'!$E$11+1,"",U31+V31)</f>
        <v>138000</v>
      </c>
      <c r="X31" s="787">
        <f ca="1">IF($P31&gt;'Additional Input'!$E$11+1,"",(X30*(1+$X$4))+W31)</f>
        <v>4812866.4570733691</v>
      </c>
      <c r="Z31" s="788">
        <f ca="1">IF($P31&gt;'Additional Input'!$E$11+1,"",(Z30*(1+$Z$4))+U31+AA31)</f>
        <v>4812866.4570733691</v>
      </c>
      <c r="AA31" s="864">
        <f ca="1">IF($P31&gt;'Additional Input'!$E$11+1,"",-IF(P31&lt;Calculator!$K$8,Calculator!$J$8,0))</f>
        <v>0</v>
      </c>
      <c r="AC31" s="356">
        <f>IF('Additional Input'!N39=2011,5120000,ROUNDDOWN($AC$4*(1+$AC$3)^Projections!A32,-4))</f>
        <v>8960000</v>
      </c>
      <c r="AD31" s="786">
        <f>Calculator!$D$30</f>
        <v>0.4</v>
      </c>
      <c r="AE31" s="773">
        <v>98</v>
      </c>
      <c r="AF31" s="774">
        <v>7.1</v>
      </c>
    </row>
    <row r="32" spans="1:32">
      <c r="A32" s="799">
        <f t="shared" si="4"/>
        <v>2</v>
      </c>
      <c r="B32" s="801">
        <f t="shared" si="5"/>
        <v>0</v>
      </c>
      <c r="C32" s="801">
        <f t="shared" si="3"/>
        <v>0</v>
      </c>
      <c r="D32" s="802">
        <f>SUM(C42:C53)</f>
        <v>0</v>
      </c>
      <c r="O32" s="271"/>
      <c r="P32" s="780">
        <f t="shared" si="2"/>
        <v>27</v>
      </c>
      <c r="Q32" s="564" t="str">
        <f ca="1">IF(P32&gt;'Additional Input'!$E$11+1,"",IF('Additional Input'!$N$9="","",'Additional Input'!$N$9+Projections!A32)&amp;"/"&amp;IF('Additional Input'!$O$9="","",IF('Additional Input'!$O$9=0,"",'Additional Input'!$O$9+Projections!A32)))</f>
        <v>87/87</v>
      </c>
      <c r="R32" s="781">
        <f ca="1">IF($P32&gt;'Additional Input'!$E$11+1,"",+R31+1)</f>
        <v>2040</v>
      </c>
      <c r="S32" s="782">
        <f ca="1">IF($P32&gt;'Additional Input'!$E$11+1,"",S31*(1+'Additional Input'!$D$13))</f>
        <v>23896.410672975479</v>
      </c>
      <c r="T32" s="782">
        <f ca="1">IF($P32&gt;'Additional Input'!$E$11+1,"",ROUNDDOWN(S32,-3))</f>
        <v>23000</v>
      </c>
      <c r="U32" s="569">
        <f ca="1">IF($P32&gt;'Additional Input'!$E$11+1,"",IF(Calculator!$D$19=TRUE,Calculator!$D$18*IF(Calculator!$F$18=TRUE,2,1)*TaxTables!$T32,IF(P32&lt;Calculator!$H$19,Calculator!$F$19,0)))</f>
        <v>138000</v>
      </c>
      <c r="V32" s="783">
        <f ca="1">IF($P32&gt;'Additional Input'!$E$11+1,"",IF(P32&lt;Calculator!$H$20,IF(Calculator!$D$20=TRUE,-Calculator!$F$20,0),0)-IF(P32&lt;Calculator!$K$8,Calculator!$J$8,0))</f>
        <v>0</v>
      </c>
      <c r="W32" s="783">
        <f ca="1">IF($P32&gt;'Additional Input'!$E$11+1,"",U32+V32)</f>
        <v>138000</v>
      </c>
      <c r="X32" s="787">
        <f ca="1">IF($P32&gt;'Additional Input'!$E$11+1,"",(X31*(1+$X$4))+W32)</f>
        <v>5143381.1153563038</v>
      </c>
      <c r="Z32" s="788">
        <f ca="1">IF($P32&gt;'Additional Input'!$E$11+1,"",(Z31*(1+$Z$4))+U32+AA32)</f>
        <v>5143381.1153563038</v>
      </c>
      <c r="AA32" s="864">
        <f ca="1">IF($P32&gt;'Additional Input'!$E$11+1,"",-IF(P32&lt;Calculator!$K$8,Calculator!$J$8,0))</f>
        <v>0</v>
      </c>
      <c r="AC32" s="356">
        <f>IF('Additional Input'!N40=2011,5120000,ROUNDDOWN($AC$4*(1+$AC$3)^Projections!A33,-4))</f>
        <v>9140000</v>
      </c>
      <c r="AD32" s="786">
        <f>Calculator!$D$30</f>
        <v>0.4</v>
      </c>
      <c r="AE32" s="773">
        <v>99</v>
      </c>
      <c r="AF32" s="774">
        <v>6.7</v>
      </c>
    </row>
    <row r="33" spans="1:32">
      <c r="A33" s="799">
        <f t="shared" si="4"/>
        <v>3</v>
      </c>
      <c r="B33" s="801">
        <f t="shared" si="5"/>
        <v>0</v>
      </c>
      <c r="C33" s="801">
        <f t="shared" si="3"/>
        <v>0</v>
      </c>
      <c r="D33" s="802">
        <f>SUM(C54:C65)</f>
        <v>0</v>
      </c>
      <c r="O33" s="271"/>
      <c r="P33" s="780">
        <f t="shared" si="2"/>
        <v>28</v>
      </c>
      <c r="Q33" s="564" t="str">
        <f ca="1">IF(P33&gt;'Additional Input'!$E$11+1,"",IF('Additional Input'!$N$9="","",'Additional Input'!$N$9+Projections!A33)&amp;"/"&amp;IF('Additional Input'!$O$9="","",IF('Additional Input'!$O$9=0,"",'Additional Input'!$O$9+Projections!A33)))</f>
        <v>88/88</v>
      </c>
      <c r="R33" s="781">
        <f ca="1">IF($P33&gt;'Additional Input'!$E$11+1,"",+R32+1)</f>
        <v>2041</v>
      </c>
      <c r="S33" s="782">
        <f ca="1">IF($P33&gt;'Additional Input'!$E$11+1,"",S32*(1+'Additional Input'!$D$13))</f>
        <v>24374.338886434987</v>
      </c>
      <c r="T33" s="782">
        <f ca="1">IF($P33&gt;'Additional Input'!$E$11+1,"",ROUNDDOWN(S33,-3))</f>
        <v>24000</v>
      </c>
      <c r="U33" s="569">
        <f ca="1">IF($P33&gt;'Additional Input'!$E$11+1,"",IF(Calculator!$D$19=TRUE,Calculator!$D$18*IF(Calculator!$F$18=TRUE,2,1)*TaxTables!$T33,IF(P33&lt;Calculator!$H$19,Calculator!$F$19,0)))</f>
        <v>144000</v>
      </c>
      <c r="V33" s="783">
        <f ca="1">IF($P33&gt;'Additional Input'!$E$11+1,"",IF(P33&lt;Calculator!$H$20,IF(Calculator!$D$20=TRUE,-Calculator!$F$20,0),0)-IF(P33&lt;Calculator!$K$8,Calculator!$J$8,0))</f>
        <v>0</v>
      </c>
      <c r="W33" s="783">
        <f ca="1">IF($P33&gt;'Additional Input'!$E$11+1,"",U33+V33)</f>
        <v>144000</v>
      </c>
      <c r="X33" s="787">
        <f ca="1">IF($P33&gt;'Additional Input'!$E$11+1,"",(X32*(1+$X$4))+W33)</f>
        <v>5493116.3599705556</v>
      </c>
      <c r="Z33" s="788">
        <f ca="1">IF($P33&gt;'Additional Input'!$E$11+1,"",(Z32*(1+$Z$4))+U33+AA33)</f>
        <v>5493116.3599705556</v>
      </c>
      <c r="AA33" s="864">
        <f ca="1">IF($P33&gt;'Additional Input'!$E$11+1,"",-IF(P33&lt;Calculator!$K$8,Calculator!$J$8,0))</f>
        <v>0</v>
      </c>
      <c r="AC33" s="356">
        <f>IF('Additional Input'!N41=2011,5120000,ROUNDDOWN($AC$4*(1+$AC$3)^Projections!A34,-4))</f>
        <v>9320000</v>
      </c>
      <c r="AD33" s="786">
        <f>Calculator!$D$30</f>
        <v>0.4</v>
      </c>
      <c r="AE33" s="773">
        <v>100</v>
      </c>
      <c r="AF33" s="774">
        <v>6.3</v>
      </c>
    </row>
    <row r="34" spans="1:32">
      <c r="A34" s="799">
        <f t="shared" si="4"/>
        <v>4</v>
      </c>
      <c r="B34" s="801">
        <f t="shared" si="5"/>
        <v>0</v>
      </c>
      <c r="C34" s="801">
        <f t="shared" si="3"/>
        <v>0</v>
      </c>
      <c r="D34" s="802">
        <f>SUM(C66:C77)</f>
        <v>0</v>
      </c>
      <c r="O34" s="271"/>
      <c r="P34" s="780">
        <f t="shared" si="2"/>
        <v>29</v>
      </c>
      <c r="Q34" s="564" t="str">
        <f ca="1">IF(P34&gt;'Additional Input'!$E$11+1,"",IF('Additional Input'!$N$9="","",'Additional Input'!$N$9+Projections!A34)&amp;"/"&amp;IF('Additional Input'!$O$9="","",IF('Additional Input'!$O$9=0,"",'Additional Input'!$O$9+Projections!A34)))</f>
        <v>89/89</v>
      </c>
      <c r="R34" s="781">
        <f ca="1">IF($P34&gt;'Additional Input'!$E$11+1,"",+R33+1)</f>
        <v>2042</v>
      </c>
      <c r="S34" s="782">
        <f ca="1">IF($P34&gt;'Additional Input'!$E$11+1,"",S33*(1+'Additional Input'!$D$13))</f>
        <v>24861.825664163687</v>
      </c>
      <c r="T34" s="782">
        <f ca="1">IF($P34&gt;'Additional Input'!$E$11+1,"",ROUNDDOWN(S34,-3))</f>
        <v>24000</v>
      </c>
      <c r="U34" s="569">
        <f ca="1">IF($P34&gt;'Additional Input'!$E$11+1,"",IF(Calculator!$D$19=TRUE,Calculator!$D$18*IF(Calculator!$F$18=TRUE,2,1)*TaxTables!$T34,IF(P34&lt;Calculator!$H$19,Calculator!$F$19,0)))</f>
        <v>144000</v>
      </c>
      <c r="V34" s="783">
        <f ca="1">IF($P34&gt;'Additional Input'!$E$11+1,"",IF(P34&lt;Calculator!$H$20,IF(Calculator!$D$20=TRUE,-Calculator!$F$20,0),0)-IF(P34&lt;Calculator!$K$8,Calculator!$J$8,0))</f>
        <v>0</v>
      </c>
      <c r="W34" s="783">
        <f ca="1">IF($P34&gt;'Additional Input'!$E$11+1,"",U34+V34)</f>
        <v>144000</v>
      </c>
      <c r="X34" s="787">
        <f ca="1">IF($P34&gt;'Additional Input'!$E$11+1,"",(X33*(1+$X$4))+W34)</f>
        <v>5856841.0143693779</v>
      </c>
      <c r="Z34" s="788">
        <f ca="1">IF($P34&gt;'Additional Input'!$E$11+1,"",(Z33*(1+$Z$4))+U34+AA34)</f>
        <v>5856841.0143693779</v>
      </c>
      <c r="AA34" s="864">
        <f ca="1">IF($P34&gt;'Additional Input'!$E$11+1,"",-IF(P34&lt;Calculator!$K$8,Calculator!$J$8,0))</f>
        <v>0</v>
      </c>
      <c r="AC34" s="356">
        <f>IF('Additional Input'!N42=2011,5120000,ROUNDDOWN($AC$4*(1+$AC$3)^Projections!A35,-4))</f>
        <v>9500000</v>
      </c>
      <c r="AD34" s="786">
        <f>Calculator!$D$30</f>
        <v>0.4</v>
      </c>
      <c r="AE34" s="789">
        <v>101</v>
      </c>
      <c r="AF34" s="790">
        <v>5.9</v>
      </c>
    </row>
    <row r="35" spans="1:32">
      <c r="A35" s="799">
        <f t="shared" si="4"/>
        <v>5</v>
      </c>
      <c r="B35" s="801">
        <f t="shared" si="5"/>
        <v>0</v>
      </c>
      <c r="C35" s="801">
        <f t="shared" si="3"/>
        <v>0</v>
      </c>
      <c r="D35" s="802">
        <f>SUM(C78:C89)</f>
        <v>0</v>
      </c>
      <c r="O35" s="271"/>
      <c r="P35" s="780">
        <f t="shared" si="2"/>
        <v>30</v>
      </c>
      <c r="Q35" s="564" t="str">
        <f ca="1">IF(P35&gt;'Additional Input'!$E$11+1,"",IF('Additional Input'!$N$9="","",'Additional Input'!$N$9+Projections!A35)&amp;"/"&amp;IF('Additional Input'!$O$9="","",IF('Additional Input'!$O$9=0,"",'Additional Input'!$O$9+Projections!A35)))</f>
        <v>90/90</v>
      </c>
      <c r="R35" s="781">
        <f ca="1">IF($P35&gt;'Additional Input'!$E$11+1,"",+R34+1)</f>
        <v>2043</v>
      </c>
      <c r="S35" s="782">
        <f ca="1">IF($P35&gt;'Additional Input'!$E$11+1,"",S34*(1+'Additional Input'!$D$13))</f>
        <v>25359.062177446962</v>
      </c>
      <c r="T35" s="782">
        <f ca="1">IF($P35&gt;'Additional Input'!$E$11+1,"",ROUNDDOWN(S35,-3))</f>
        <v>25000</v>
      </c>
      <c r="U35" s="569">
        <f ca="1">IF($P35&gt;'Additional Input'!$E$11+1,"",IF(Calculator!$D$19=TRUE,Calculator!$D$18*IF(Calculator!$F$18=TRUE,2,1)*TaxTables!$T35,IF(P35&lt;Calculator!$H$19,Calculator!$F$19,0)))</f>
        <v>150000</v>
      </c>
      <c r="V35" s="783">
        <f ca="1">IF($P35&gt;'Additional Input'!$E$11+1,"",IF(P35&lt;Calculator!$H$20,IF(Calculator!$D$20=TRUE,-Calculator!$F$20,0),0)-IF(P35&lt;Calculator!$K$8,Calculator!$J$8,0))</f>
        <v>0</v>
      </c>
      <c r="W35" s="783">
        <f ca="1">IF($P35&gt;'Additional Input'!$E$11+1,"",U35+V35)</f>
        <v>150000</v>
      </c>
      <c r="X35" s="787">
        <f ca="1">IF($P35&gt;'Additional Input'!$E$11+1,"",(X34*(1+$X$4))+W35)</f>
        <v>6241114.6549441535</v>
      </c>
      <c r="Z35" s="788">
        <f ca="1">IF($P35&gt;'Additional Input'!$E$11+1,"",(Z34*(1+$Z$4))+U35+AA35)</f>
        <v>6241114.6549441535</v>
      </c>
      <c r="AA35" s="864">
        <f ca="1">IF($P35&gt;'Additional Input'!$E$11+1,"",-IF(P35&lt;Calculator!$K$8,Calculator!$J$8,0))</f>
        <v>0</v>
      </c>
      <c r="AC35" s="356">
        <f>IF('Additional Input'!N43=2011,5120000,ROUNDDOWN($AC$4*(1+$AC$3)^Projections!A36,-4))</f>
        <v>9690000</v>
      </c>
      <c r="AD35" s="786">
        <f>Calculator!$D$30</f>
        <v>0.4</v>
      </c>
      <c r="AE35" s="773">
        <v>102</v>
      </c>
      <c r="AF35" s="774">
        <v>5.5</v>
      </c>
    </row>
    <row r="36" spans="1:32">
      <c r="A36" s="799">
        <f t="shared" si="4"/>
        <v>6</v>
      </c>
      <c r="B36" s="801">
        <f t="shared" si="5"/>
        <v>0</v>
      </c>
      <c r="C36" s="801">
        <f t="shared" si="3"/>
        <v>0</v>
      </c>
      <c r="D36" s="802">
        <f>SUM(C90:C101)</f>
        <v>0</v>
      </c>
      <c r="O36" s="271"/>
      <c r="P36" s="780">
        <f t="shared" si="2"/>
        <v>31</v>
      </c>
      <c r="Q36" s="564" t="str">
        <f ca="1">IF(P36&gt;'Additional Input'!$E$11+1,"",IF('Additional Input'!$N$9="","",'Additional Input'!$N$9+Projections!A36)&amp;"/"&amp;IF('Additional Input'!$O$9="","",IF('Additional Input'!$O$9=0,"",'Additional Input'!$O$9+Projections!A36)))</f>
        <v>91/91</v>
      </c>
      <c r="R36" s="781">
        <f ca="1">IF($P36&gt;'Additional Input'!$E$11+1,"",+R35+1)</f>
        <v>2044</v>
      </c>
      <c r="S36" s="782">
        <f ca="1">IF($P36&gt;'Additional Input'!$E$11+1,"",S35*(1+'Additional Input'!$D$13))</f>
        <v>25866.243420995903</v>
      </c>
      <c r="T36" s="782">
        <f ca="1">IF($P36&gt;'Additional Input'!$E$11+1,"",ROUNDDOWN(S36,-3))</f>
        <v>25000</v>
      </c>
      <c r="U36" s="569">
        <f ca="1">IF($P36&gt;'Additional Input'!$E$11+1,"",IF(Calculator!$D$19=TRUE,Calculator!$D$18*IF(Calculator!$F$18=TRUE,2,1)*TaxTables!$T36,IF(P36&lt;Calculator!$H$19,Calculator!$F$19,0)))</f>
        <v>150000</v>
      </c>
      <c r="V36" s="783">
        <f ca="1">IF($P36&gt;'Additional Input'!$E$11+1,"",IF(P36&lt;Calculator!$H$20,IF(Calculator!$D$20=TRUE,-Calculator!$F$20,0),0)-IF(P36&lt;Calculator!$K$8,Calculator!$J$8,0))</f>
        <v>0</v>
      </c>
      <c r="W36" s="783">
        <f ca="1">IF($P36&gt;'Additional Input'!$E$11+1,"",U36+V36)</f>
        <v>150000</v>
      </c>
      <c r="X36" s="787">
        <f ca="1">IF($P36&gt;'Additional Input'!$E$11+1,"",(X35*(1+$X$4))+W36)</f>
        <v>6640759.24114192</v>
      </c>
      <c r="Z36" s="788">
        <f ca="1">IF($P36&gt;'Additional Input'!$E$11+1,"",(Z35*(1+$Z$4))+U36+AA36)</f>
        <v>6640759.24114192</v>
      </c>
      <c r="AA36" s="864">
        <f ca="1">IF($P36&gt;'Additional Input'!$E$11+1,"",-IF(P36&lt;Calculator!$K$8,Calculator!$J$8,0))</f>
        <v>0</v>
      </c>
      <c r="AC36" s="356">
        <f>IF('Additional Input'!N44=2011,5120000,ROUNDDOWN($AC$4*(1+$AC$3)^Projections!A37,-4))</f>
        <v>9890000</v>
      </c>
      <c r="AD36" s="786">
        <f>Calculator!$D$30</f>
        <v>0.4</v>
      </c>
      <c r="AE36" s="773">
        <v>103</v>
      </c>
      <c r="AF36" s="774">
        <v>5.2</v>
      </c>
    </row>
    <row r="37" spans="1:32">
      <c r="A37" s="799">
        <f t="shared" si="4"/>
        <v>7</v>
      </c>
      <c r="B37" s="801">
        <f t="shared" si="5"/>
        <v>0</v>
      </c>
      <c r="C37" s="801">
        <f t="shared" si="3"/>
        <v>0</v>
      </c>
      <c r="D37" s="802">
        <f>SUM(C102:C113)</f>
        <v>0</v>
      </c>
      <c r="O37" s="271"/>
      <c r="P37" s="780">
        <f t="shared" si="2"/>
        <v>32</v>
      </c>
      <c r="Q37" s="564" t="str">
        <f ca="1">IF(P37&gt;'Additional Input'!$E$11+1,"",IF('Additional Input'!$N$9="","",'Additional Input'!$N$9+Projections!A37)&amp;"/"&amp;IF('Additional Input'!$O$9="","",IF('Additional Input'!$O$9=0,"",'Additional Input'!$O$9+Projections!A37)))</f>
        <v/>
      </c>
      <c r="R37" s="781" t="str">
        <f ca="1">IF($P37&gt;'Additional Input'!$E$11+1,"",+R36+1)</f>
        <v/>
      </c>
      <c r="S37" s="782" t="str">
        <f ca="1">IF($P37&gt;'Additional Input'!$E$11+1,"",S36*(1+'Additional Input'!$D$13))</f>
        <v/>
      </c>
      <c r="T37" s="782" t="str">
        <f ca="1">IF($P37&gt;'Additional Input'!$E$11+1,"",ROUNDDOWN(S37,-3))</f>
        <v/>
      </c>
      <c r="U37" s="569" t="str">
        <f ca="1">IF($P37&gt;'Additional Input'!$E$11+1,"",IF(Calculator!$D$19=TRUE,Calculator!$D$18*IF(Calculator!$F$18=TRUE,2,1)*TaxTables!$T37,IF(P37&lt;Calculator!$H$19,Calculator!$F$19,0)))</f>
        <v/>
      </c>
      <c r="V37" s="783" t="str">
        <f ca="1">IF($P37&gt;'Additional Input'!$E$11+1,"",IF(P37&lt;Calculator!$H$20,IF(Calculator!$D$20=TRUE,-Calculator!$F$20,0),0)-IF(P37&lt;Calculator!$K$8,Calculator!$J$8,0))</f>
        <v/>
      </c>
      <c r="W37" s="783" t="str">
        <f ca="1">IF($P37&gt;'Additional Input'!$E$11+1,"",U37+V37)</f>
        <v/>
      </c>
      <c r="X37" s="787" t="str">
        <f ca="1">IF($P37&gt;'Additional Input'!$E$11+1,"",(X36*(1+$X$4))+W37)</f>
        <v/>
      </c>
      <c r="Z37" s="788" t="str">
        <f ca="1">IF($P37&gt;'Additional Input'!$E$11+1,"",(Z36*(1+$Z$4))+U37+AA37)</f>
        <v/>
      </c>
      <c r="AA37" s="864" t="str">
        <f ca="1">IF($P37&gt;'Additional Input'!$E$11+1,"",-IF(P37&lt;Calculator!$K$8,Calculator!$J$8,0))</f>
        <v/>
      </c>
      <c r="AC37" s="356">
        <f>IF('Additional Input'!N45=2011,5120000,ROUNDDOWN($AC$4*(1+$AC$3)^Projections!A38,-4))</f>
        <v>10090000</v>
      </c>
      <c r="AD37" s="786">
        <f>Calculator!$D$30</f>
        <v>0.4</v>
      </c>
      <c r="AE37" s="773">
        <v>104</v>
      </c>
      <c r="AF37" s="774">
        <v>4.9000000000000004</v>
      </c>
    </row>
    <row r="38" spans="1:32">
      <c r="A38" s="799">
        <f t="shared" si="4"/>
        <v>8</v>
      </c>
      <c r="B38" s="801">
        <f t="shared" si="5"/>
        <v>0</v>
      </c>
      <c r="C38" s="801">
        <f t="shared" si="3"/>
        <v>0</v>
      </c>
      <c r="D38" s="802">
        <f>SUM(C114:C125)</f>
        <v>0</v>
      </c>
      <c r="O38" s="271"/>
      <c r="P38" s="780">
        <f t="shared" si="2"/>
        <v>33</v>
      </c>
      <c r="Q38" s="564" t="str">
        <f ca="1">IF(P38&gt;'Additional Input'!$E$11+1,"",IF('Additional Input'!$N$9="","",'Additional Input'!$N$9+Projections!A38)&amp;"/"&amp;IF('Additional Input'!$O$9="","",IF('Additional Input'!$O$9=0,"",'Additional Input'!$O$9+Projections!A38)))</f>
        <v/>
      </c>
      <c r="R38" s="781" t="str">
        <f ca="1">IF($P38&gt;'Additional Input'!$E$11+1,"",+R37+1)</f>
        <v/>
      </c>
      <c r="S38" s="782" t="str">
        <f ca="1">IF($P38&gt;'Additional Input'!$E$11+1,"",S37*(1+'Additional Input'!$D$13))</f>
        <v/>
      </c>
      <c r="T38" s="782" t="str">
        <f ca="1">IF($P38&gt;'Additional Input'!$E$11+1,"",ROUNDDOWN(S38,-3))</f>
        <v/>
      </c>
      <c r="U38" s="569" t="str">
        <f ca="1">IF($P38&gt;'Additional Input'!$E$11+1,"",IF(Calculator!$D$19=TRUE,Calculator!$D$18*IF(Calculator!$F$18=TRUE,2,1)*TaxTables!$T38,IF(P38&lt;Calculator!$H$19,Calculator!$F$19,0)))</f>
        <v/>
      </c>
      <c r="V38" s="783" t="str">
        <f ca="1">IF($P38&gt;'Additional Input'!$E$11+1,"",IF(P38&lt;Calculator!$H$20,IF(Calculator!$D$20=TRUE,-Calculator!$F$20,0),0)-IF(P38&lt;Calculator!$K$8,Calculator!$J$8,0))</f>
        <v/>
      </c>
      <c r="W38" s="783" t="str">
        <f ca="1">IF($P38&gt;'Additional Input'!$E$11+1,"",U38+V38)</f>
        <v/>
      </c>
      <c r="X38" s="787" t="str">
        <f ca="1">IF($P38&gt;'Additional Input'!$E$11+1,"",(X37*(1+$X$4))+W38)</f>
        <v/>
      </c>
      <c r="Z38" s="788" t="str">
        <f ca="1">IF($P38&gt;'Additional Input'!$E$11+1,"",(Z37*(1+$Z$4))+U38+AA38)</f>
        <v/>
      </c>
      <c r="AA38" s="864" t="str">
        <f ca="1">IF($P38&gt;'Additional Input'!$E$11+1,"",-IF(P38&lt;Calculator!$K$8,Calculator!$J$8,0))</f>
        <v/>
      </c>
      <c r="AC38" s="356">
        <f>IF('Additional Input'!N46=2011,5120000,ROUNDDOWN($AC$4*(1+$AC$3)^Projections!A39,-4))</f>
        <v>10290000</v>
      </c>
      <c r="AD38" s="786">
        <f>Calculator!$D$30</f>
        <v>0.4</v>
      </c>
      <c r="AE38" s="773">
        <v>105</v>
      </c>
      <c r="AF38" s="774">
        <v>4.5</v>
      </c>
    </row>
    <row r="39" spans="1:32">
      <c r="A39" s="799">
        <f t="shared" si="4"/>
        <v>9</v>
      </c>
      <c r="B39" s="801">
        <f t="shared" si="5"/>
        <v>0</v>
      </c>
      <c r="C39" s="801">
        <f t="shared" si="3"/>
        <v>0</v>
      </c>
      <c r="D39" s="802">
        <f>SUM(C126:C137)</f>
        <v>0</v>
      </c>
      <c r="O39" s="271"/>
      <c r="P39" s="780">
        <f t="shared" si="2"/>
        <v>34</v>
      </c>
      <c r="Q39" s="564" t="str">
        <f ca="1">IF(P39&gt;'Additional Input'!$E$11+1,"",IF('Additional Input'!$N$9="","",'Additional Input'!$N$9+Projections!A39)&amp;"/"&amp;IF('Additional Input'!$O$9="","",IF('Additional Input'!$O$9=0,"",'Additional Input'!$O$9+Projections!A39)))</f>
        <v/>
      </c>
      <c r="R39" s="781" t="str">
        <f ca="1">IF($P39&gt;'Additional Input'!$E$11+1,"",+R38+1)</f>
        <v/>
      </c>
      <c r="S39" s="782" t="str">
        <f ca="1">IF($P39&gt;'Additional Input'!$E$11+1,"",S38*(1+'Additional Input'!$D$13))</f>
        <v/>
      </c>
      <c r="T39" s="782" t="str">
        <f ca="1">IF($P39&gt;'Additional Input'!$E$11+1,"",ROUNDDOWN(S39,-3))</f>
        <v/>
      </c>
      <c r="U39" s="569" t="str">
        <f ca="1">IF($P39&gt;'Additional Input'!$E$11+1,"",IF(Calculator!$D$19=TRUE,Calculator!$D$18*IF(Calculator!$F$18=TRUE,2,1)*TaxTables!$T39,IF(P39&lt;Calculator!$H$19,Calculator!$F$19,0)))</f>
        <v/>
      </c>
      <c r="V39" s="783" t="str">
        <f ca="1">IF($P39&gt;'Additional Input'!$E$11+1,"",IF(P39&lt;Calculator!$H$20,IF(Calculator!$D$20=TRUE,-Calculator!$F$20,0),0)-IF(P39&lt;Calculator!$K$8,Calculator!$J$8,0))</f>
        <v/>
      </c>
      <c r="W39" s="783" t="str">
        <f ca="1">IF($P39&gt;'Additional Input'!$E$11+1,"",U39+V39)</f>
        <v/>
      </c>
      <c r="X39" s="787" t="str">
        <f ca="1">IF($P39&gt;'Additional Input'!$E$11+1,"",(X38*(1+$X$4))+W39)</f>
        <v/>
      </c>
      <c r="Z39" s="788" t="str">
        <f ca="1">IF($P39&gt;'Additional Input'!$E$11+1,"",(Z38*(1+$Z$4))+U39+AA39)</f>
        <v/>
      </c>
      <c r="AA39" s="864" t="str">
        <f ca="1">IF($P39&gt;'Additional Input'!$E$11+1,"",-IF(P39&lt;Calculator!$K$8,Calculator!$J$8,0))</f>
        <v/>
      </c>
      <c r="AC39" s="356">
        <f>IF('Additional Input'!N47=2011,5120000,ROUNDDOWN($AC$4*(1+$AC$3)^Projections!A40,-4))</f>
        <v>10490000</v>
      </c>
      <c r="AD39" s="786">
        <f>Calculator!$D$30</f>
        <v>0.4</v>
      </c>
      <c r="AE39" s="789">
        <v>106</v>
      </c>
      <c r="AF39" s="790">
        <v>4.2</v>
      </c>
    </row>
    <row r="40" spans="1:32">
      <c r="A40" s="799">
        <f t="shared" si="4"/>
        <v>10</v>
      </c>
      <c r="B40" s="801">
        <f t="shared" si="5"/>
        <v>0</v>
      </c>
      <c r="C40" s="803">
        <f t="shared" si="3"/>
        <v>0</v>
      </c>
      <c r="D40" s="802">
        <f>SUM(C138:C149)</f>
        <v>0</v>
      </c>
      <c r="O40" s="271"/>
      <c r="P40" s="780">
        <f t="shared" si="2"/>
        <v>35</v>
      </c>
      <c r="Q40" s="564" t="str">
        <f ca="1">IF(P40&gt;'Additional Input'!$E$11+1,"",IF('Additional Input'!$N$9="","",'Additional Input'!$N$9+Projections!A40)&amp;"/"&amp;IF('Additional Input'!$O$9="","",IF('Additional Input'!$O$9=0,"",'Additional Input'!$O$9+Projections!A40)))</f>
        <v/>
      </c>
      <c r="R40" s="781" t="str">
        <f ca="1">IF($P40&gt;'Additional Input'!$E$11+1,"",+R39+1)</f>
        <v/>
      </c>
      <c r="S40" s="782" t="str">
        <f ca="1">IF($P40&gt;'Additional Input'!$E$11+1,"",S39*(1+'Additional Input'!$D$13))</f>
        <v/>
      </c>
      <c r="T40" s="782" t="str">
        <f ca="1">IF($P40&gt;'Additional Input'!$E$11+1,"",ROUNDDOWN(S40,-3))</f>
        <v/>
      </c>
      <c r="U40" s="569" t="str">
        <f ca="1">IF($P40&gt;'Additional Input'!$E$11+1,"",IF(Calculator!$D$19=TRUE,Calculator!$D$18*IF(Calculator!$F$18=TRUE,2,1)*TaxTables!$T40,IF(P40&lt;Calculator!$H$19,Calculator!$F$19,0)))</f>
        <v/>
      </c>
      <c r="V40" s="783" t="str">
        <f ca="1">IF($P40&gt;'Additional Input'!$E$11+1,"",IF(P40&lt;Calculator!$H$20,IF(Calculator!$D$20=TRUE,-Calculator!$F$20,0),0)-IF(P40&lt;Calculator!$K$8,Calculator!$J$8,0))</f>
        <v/>
      </c>
      <c r="W40" s="783" t="str">
        <f ca="1">IF($P40&gt;'Additional Input'!$E$11+1,"",U40+V40)</f>
        <v/>
      </c>
      <c r="X40" s="787" t="str">
        <f ca="1">IF($P40&gt;'Additional Input'!$E$11+1,"",(X39*(1+$X$4))+W40)</f>
        <v/>
      </c>
      <c r="Z40" s="788" t="str">
        <f ca="1">IF($P40&gt;'Additional Input'!$E$11+1,"",(Z39*(1+$Z$4))+U40+AA40)</f>
        <v/>
      </c>
      <c r="AA40" s="864" t="str">
        <f ca="1">IF($P40&gt;'Additional Input'!$E$11+1,"",-IF(P40&lt;Calculator!$K$8,Calculator!$J$8,0))</f>
        <v/>
      </c>
      <c r="AC40" s="356">
        <f>IF('Additional Input'!N48=2011,5120000,ROUNDDOWN($AC$4*(1+$AC$3)^Projections!A41,-4))</f>
        <v>10700000</v>
      </c>
      <c r="AD40" s="786">
        <f>Calculator!$D$30</f>
        <v>0.4</v>
      </c>
      <c r="AE40" s="773">
        <v>107</v>
      </c>
      <c r="AF40" s="774">
        <v>3.9</v>
      </c>
    </row>
    <row r="41" spans="1:32">
      <c r="A41" s="799">
        <f t="shared" si="4"/>
        <v>11</v>
      </c>
      <c r="B41" s="801">
        <f t="shared" si="5"/>
        <v>0</v>
      </c>
      <c r="C41" s="801">
        <f t="shared" si="3"/>
        <v>0</v>
      </c>
      <c r="D41" s="802">
        <f>SUM(C150:C161)</f>
        <v>0</v>
      </c>
      <c r="O41" s="271"/>
      <c r="P41" s="780">
        <f t="shared" si="2"/>
        <v>36</v>
      </c>
      <c r="Q41" s="564" t="str">
        <f ca="1">IF(P41&gt;'Additional Input'!$E$11+1,"",IF('Additional Input'!$N$9="","",'Additional Input'!$N$9+Projections!A41)&amp;"/"&amp;IF('Additional Input'!$O$9="","",IF('Additional Input'!$O$9=0,"",'Additional Input'!$O$9+Projections!A41)))</f>
        <v/>
      </c>
      <c r="R41" s="781" t="str">
        <f ca="1">IF($P41&gt;'Additional Input'!$E$11+1,"",+R40+1)</f>
        <v/>
      </c>
      <c r="S41" s="782" t="str">
        <f ca="1">IF($P41&gt;'Additional Input'!$E$11+1,"",S40*(1+'Additional Input'!$D$13))</f>
        <v/>
      </c>
      <c r="T41" s="782" t="str">
        <f ca="1">IF($P41&gt;'Additional Input'!$E$11+1,"",ROUNDDOWN(S41,-3))</f>
        <v/>
      </c>
      <c r="U41" s="569" t="str">
        <f ca="1">IF($P41&gt;'Additional Input'!$E$11+1,"",IF(Calculator!$D$19=TRUE,Calculator!$D$18*IF(Calculator!$F$18=TRUE,2,1)*TaxTables!$T41,IF(P41&lt;Calculator!$H$19,Calculator!$F$19,0)))</f>
        <v/>
      </c>
      <c r="V41" s="783" t="str">
        <f ca="1">IF($P41&gt;'Additional Input'!$E$11+1,"",IF(P41&lt;Calculator!$H$20,IF(Calculator!$D$20=TRUE,-Calculator!$F$20,0),0)-IF(P41&lt;Calculator!$K$8,Calculator!$J$8,0))</f>
        <v/>
      </c>
      <c r="W41" s="783" t="str">
        <f ca="1">IF($P41&gt;'Additional Input'!$E$11+1,"",U41+V41)</f>
        <v/>
      </c>
      <c r="X41" s="787" t="str">
        <f ca="1">IF($P41&gt;'Additional Input'!$E$11+1,"",(X40*(1+$X$4))+W41)</f>
        <v/>
      </c>
      <c r="Z41" s="788" t="str">
        <f ca="1">IF($P41&gt;'Additional Input'!$E$11+1,"",(Z40*(1+$Z$4))+U41+AA41)</f>
        <v/>
      </c>
      <c r="AA41" s="864" t="str">
        <f ca="1">IF($P41&gt;'Additional Input'!$E$11+1,"",-IF(P41&lt;Calculator!$K$8,Calculator!$J$8,0))</f>
        <v/>
      </c>
      <c r="AC41" s="356">
        <f>IF('Additional Input'!N49=2011,5120000,ROUNDDOWN($AC$4*(1+$AC$3)^Projections!A42,-4))</f>
        <v>10920000</v>
      </c>
      <c r="AD41" s="786">
        <f>Calculator!$D$30</f>
        <v>0.4</v>
      </c>
      <c r="AE41" s="773">
        <v>108</v>
      </c>
      <c r="AF41" s="774">
        <v>3.7</v>
      </c>
    </row>
    <row r="42" spans="1:32">
      <c r="A42" s="804">
        <f t="shared" si="4"/>
        <v>12</v>
      </c>
      <c r="B42" s="801">
        <f t="shared" si="5"/>
        <v>0</v>
      </c>
      <c r="C42" s="801">
        <f t="shared" si="3"/>
        <v>0</v>
      </c>
      <c r="D42" s="802">
        <f>SUM(C162:C173)</f>
        <v>0</v>
      </c>
      <c r="O42" s="271"/>
      <c r="P42" s="780">
        <f t="shared" si="2"/>
        <v>37</v>
      </c>
      <c r="Q42" s="564" t="str">
        <f ca="1">IF(P42&gt;'Additional Input'!$E$11+1,"",IF('Additional Input'!$N$9="","",'Additional Input'!$N$9+Projections!A42)&amp;"/"&amp;IF('Additional Input'!$O$9="","",IF('Additional Input'!$O$9=0,"",'Additional Input'!$O$9+Projections!A42)))</f>
        <v/>
      </c>
      <c r="R42" s="781" t="str">
        <f ca="1">IF($P42&gt;'Additional Input'!$E$11+1,"",+R41+1)</f>
        <v/>
      </c>
      <c r="S42" s="782" t="str">
        <f ca="1">IF($P42&gt;'Additional Input'!$E$11+1,"",S41*(1+'Additional Input'!$D$13))</f>
        <v/>
      </c>
      <c r="T42" s="782" t="str">
        <f ca="1">IF($P42&gt;'Additional Input'!$E$11+1,"",ROUNDDOWN(S42,-3))</f>
        <v/>
      </c>
      <c r="U42" s="569" t="str">
        <f ca="1">IF($P42&gt;'Additional Input'!$E$11+1,"",IF(Calculator!$D$19=TRUE,Calculator!$D$18*IF(Calculator!$F$18=TRUE,2,1)*TaxTables!$T42,IF(P42&lt;Calculator!$H$19,Calculator!$F$19,0)))</f>
        <v/>
      </c>
      <c r="V42" s="783" t="str">
        <f ca="1">IF($P42&gt;'Additional Input'!$E$11+1,"",IF(P42&lt;Calculator!$H$20,IF(Calculator!$D$20=TRUE,-Calculator!$F$20,0),0)-IF(P42&lt;Calculator!$K$8,Calculator!$J$8,0))</f>
        <v/>
      </c>
      <c r="W42" s="783" t="str">
        <f ca="1">IF($P42&gt;'Additional Input'!$E$11+1,"",U42+V42)</f>
        <v/>
      </c>
      <c r="X42" s="787" t="str">
        <f ca="1">IF($P42&gt;'Additional Input'!$E$11+1,"",(X41*(1+$X$4))+W42)</f>
        <v/>
      </c>
      <c r="Z42" s="788" t="str">
        <f ca="1">IF($P42&gt;'Additional Input'!$E$11+1,"",(Z41*(1+$Z$4))+U42+AA42)</f>
        <v/>
      </c>
      <c r="AA42" s="864" t="str">
        <f ca="1">IF($P42&gt;'Additional Input'!$E$11+1,"",-IF(P42&lt;Calculator!$K$8,Calculator!$J$8,0))</f>
        <v/>
      </c>
      <c r="AC42" s="356">
        <f>IF('Additional Input'!N50=2011,5120000,ROUNDDOWN($AC$4*(1+$AC$3)^Projections!A43,-4))</f>
        <v>11140000</v>
      </c>
      <c r="AD42" s="786">
        <f>Calculator!$D$30</f>
        <v>0.4</v>
      </c>
      <c r="AE42" s="773">
        <v>109</v>
      </c>
      <c r="AF42" s="774">
        <v>3.4</v>
      </c>
    </row>
    <row r="43" spans="1:32">
      <c r="A43" s="799">
        <f t="shared" si="4"/>
        <v>13</v>
      </c>
      <c r="B43" s="801">
        <f t="shared" si="5"/>
        <v>0</v>
      </c>
      <c r="C43" s="801">
        <f t="shared" si="3"/>
        <v>0</v>
      </c>
      <c r="D43" s="802">
        <f>SUM(C174:C185)</f>
        <v>0</v>
      </c>
      <c r="O43" s="271"/>
      <c r="P43" s="780">
        <f t="shared" si="2"/>
        <v>38</v>
      </c>
      <c r="Q43" s="564" t="str">
        <f ca="1">IF(P43&gt;'Additional Input'!$E$11+1,"",IF('Additional Input'!$N$9="","",'Additional Input'!$N$9+Projections!A43)&amp;"/"&amp;IF('Additional Input'!$O$9="","",IF('Additional Input'!$O$9=0,"",'Additional Input'!$O$9+Projections!A43)))</f>
        <v/>
      </c>
      <c r="R43" s="781" t="str">
        <f ca="1">IF($P43&gt;'Additional Input'!$E$11+1,"",+R42+1)</f>
        <v/>
      </c>
      <c r="S43" s="782" t="str">
        <f ca="1">IF($P43&gt;'Additional Input'!$E$11+1,"",S42*(1+'Additional Input'!$D$13))</f>
        <v/>
      </c>
      <c r="T43" s="782" t="str">
        <f ca="1">IF($P43&gt;'Additional Input'!$E$11+1,"",ROUNDDOWN(S43,-3))</f>
        <v/>
      </c>
      <c r="U43" s="569" t="str">
        <f ca="1">IF($P43&gt;'Additional Input'!$E$11+1,"",IF(Calculator!$D$19=TRUE,Calculator!$D$18*IF(Calculator!$F$18=TRUE,2,1)*TaxTables!$T43,IF(P43&lt;Calculator!$H$19,Calculator!$F$19,0)))</f>
        <v/>
      </c>
      <c r="V43" s="783" t="str">
        <f ca="1">IF($P43&gt;'Additional Input'!$E$11+1,"",IF(P43&lt;Calculator!$H$20,IF(Calculator!$D$20=TRUE,-Calculator!$F$20,0),0)-IF(P43&lt;Calculator!$K$8,Calculator!$J$8,0))</f>
        <v/>
      </c>
      <c r="W43" s="783" t="str">
        <f ca="1">IF($P43&gt;'Additional Input'!$E$11+1,"",U43+V43)</f>
        <v/>
      </c>
      <c r="X43" s="787" t="str">
        <f ca="1">IF($P43&gt;'Additional Input'!$E$11+1,"",(X42*(1+$X$4))+W43)</f>
        <v/>
      </c>
      <c r="Z43" s="788" t="str">
        <f ca="1">IF($P43&gt;'Additional Input'!$E$11+1,"",(Z42*(1+$Z$4))+U43+AA43)</f>
        <v/>
      </c>
      <c r="AA43" s="864" t="str">
        <f ca="1">IF($P43&gt;'Additional Input'!$E$11+1,"",-IF(P43&lt;Calculator!$K$8,Calculator!$J$8,0))</f>
        <v/>
      </c>
      <c r="AC43" s="356">
        <f>IF('Additional Input'!N51=2011,5120000,ROUNDDOWN($AC$4*(1+$AC$3)^Projections!A44,-4))</f>
        <v>11360000</v>
      </c>
      <c r="AD43" s="786">
        <f>Calculator!$D$30</f>
        <v>0.4</v>
      </c>
      <c r="AE43" s="773">
        <v>110</v>
      </c>
      <c r="AF43" s="774">
        <v>3.1</v>
      </c>
    </row>
    <row r="44" spans="1:32">
      <c r="A44" s="799">
        <f t="shared" si="4"/>
        <v>14</v>
      </c>
      <c r="B44" s="801">
        <f t="shared" si="5"/>
        <v>0</v>
      </c>
      <c r="C44" s="801">
        <f t="shared" si="3"/>
        <v>0</v>
      </c>
      <c r="D44" s="802">
        <f>SUM(C186:C197)</f>
        <v>0</v>
      </c>
      <c r="O44" s="271"/>
      <c r="P44" s="780">
        <f t="shared" si="2"/>
        <v>39</v>
      </c>
      <c r="Q44" s="564" t="str">
        <f ca="1">IF(P44&gt;'Additional Input'!$E$11+1,"",IF('Additional Input'!$N$9="","",'Additional Input'!$N$9+Projections!A44)&amp;"/"&amp;IF('Additional Input'!$O$9="","",IF('Additional Input'!$O$9=0,"",'Additional Input'!$O$9+Projections!A44)))</f>
        <v/>
      </c>
      <c r="R44" s="781" t="str">
        <f ca="1">IF($P44&gt;'Additional Input'!$E$11+1,"",+R43+1)</f>
        <v/>
      </c>
      <c r="S44" s="782" t="str">
        <f ca="1">IF($P44&gt;'Additional Input'!$E$11+1,"",S43*(1+'Additional Input'!$D$13))</f>
        <v/>
      </c>
      <c r="T44" s="782" t="str">
        <f ca="1">IF($P44&gt;'Additional Input'!$E$11+1,"",ROUNDDOWN(S44,-3))</f>
        <v/>
      </c>
      <c r="U44" s="569" t="str">
        <f ca="1">IF($P44&gt;'Additional Input'!$E$11+1,"",IF(Calculator!$D$19=TRUE,Calculator!$D$18*IF(Calculator!$F$18=TRUE,2,1)*TaxTables!$T44,IF(P44&lt;Calculator!$H$19,Calculator!$F$19,0)))</f>
        <v/>
      </c>
      <c r="V44" s="783" t="str">
        <f ca="1">IF($P44&gt;'Additional Input'!$E$11+1,"",IF(P44&lt;Calculator!$H$20,IF(Calculator!$D$20=TRUE,-Calculator!$F$20,0),0)-IF(P44&lt;Calculator!$K$8,Calculator!$J$8,0))</f>
        <v/>
      </c>
      <c r="W44" s="783" t="str">
        <f ca="1">IF($P44&gt;'Additional Input'!$E$11+1,"",U44+V44)</f>
        <v/>
      </c>
      <c r="X44" s="787" t="str">
        <f ca="1">IF($P44&gt;'Additional Input'!$E$11+1,"",(X43*(1+$X$4))+W44)</f>
        <v/>
      </c>
      <c r="Z44" s="788" t="str">
        <f ca="1">IF($P44&gt;'Additional Input'!$E$11+1,"",(Z43*(1+$Z$4))+U44+AA44)</f>
        <v/>
      </c>
      <c r="AA44" s="864" t="str">
        <f ca="1">IF($P44&gt;'Additional Input'!$E$11+1,"",-IF(P44&lt;Calculator!$K$8,Calculator!$J$8,0))</f>
        <v/>
      </c>
      <c r="AC44" s="356">
        <f>IF('Additional Input'!N52=2011,5120000,ROUNDDOWN($AC$4*(1+$AC$3)^Projections!A45,-4))</f>
        <v>11590000</v>
      </c>
      <c r="AD44" s="786">
        <f>Calculator!$D$30</f>
        <v>0.4</v>
      </c>
      <c r="AE44" s="789">
        <v>111</v>
      </c>
      <c r="AF44" s="790">
        <v>2.9</v>
      </c>
    </row>
    <row r="45" spans="1:32">
      <c r="A45" s="799">
        <f t="shared" si="4"/>
        <v>15</v>
      </c>
      <c r="B45" s="801">
        <f t="shared" si="5"/>
        <v>0</v>
      </c>
      <c r="C45" s="801">
        <f t="shared" si="3"/>
        <v>0</v>
      </c>
      <c r="D45" s="802">
        <f>SUM(C198:C209)</f>
        <v>0</v>
      </c>
      <c r="O45" s="271"/>
      <c r="P45" s="780">
        <f t="shared" si="2"/>
        <v>40</v>
      </c>
      <c r="Q45" s="564" t="str">
        <f ca="1">IF(P45&gt;'Additional Input'!$E$11+1,"",IF('Additional Input'!$N$9="","",'Additional Input'!$N$9+Projections!A45)&amp;"/"&amp;IF('Additional Input'!$O$9="","",IF('Additional Input'!$O$9=0,"",'Additional Input'!$O$9+Projections!A45)))</f>
        <v/>
      </c>
      <c r="R45" s="781" t="str">
        <f ca="1">IF($P45&gt;'Additional Input'!$E$11+1,"",+R44+1)</f>
        <v/>
      </c>
      <c r="S45" s="782" t="str">
        <f ca="1">IF($P45&gt;'Additional Input'!$E$11+1,"",S44*(1+'Additional Input'!$D$13))</f>
        <v/>
      </c>
      <c r="T45" s="782" t="str">
        <f ca="1">IF($P45&gt;'Additional Input'!$E$11+1,"",ROUNDDOWN(S45,-3))</f>
        <v/>
      </c>
      <c r="U45" s="569" t="str">
        <f ca="1">IF($P45&gt;'Additional Input'!$E$11+1,"",IF(Calculator!$D$19=TRUE,Calculator!$D$18*IF(Calculator!$F$18=TRUE,2,1)*TaxTables!$T45,IF(P45&lt;Calculator!$H$19,Calculator!$F$19,0)))</f>
        <v/>
      </c>
      <c r="V45" s="783" t="str">
        <f ca="1">IF($P45&gt;'Additional Input'!$E$11+1,"",IF(P45&lt;Calculator!$H$20,IF(Calculator!$D$20=TRUE,-Calculator!$F$20,0),0)-IF(P45&lt;Calculator!$K$8,Calculator!$J$8,0))</f>
        <v/>
      </c>
      <c r="W45" s="783" t="str">
        <f ca="1">IF($P45&gt;'Additional Input'!$E$11+1,"",U45+V45)</f>
        <v/>
      </c>
      <c r="X45" s="787" t="str">
        <f ca="1">IF($P45&gt;'Additional Input'!$E$11+1,"",(X44*(1+$X$4))+W45)</f>
        <v/>
      </c>
      <c r="Z45" s="788" t="str">
        <f ca="1">IF($P45&gt;'Additional Input'!$E$11+1,"",(Z44*(1+$Z$4))+U45+AA45)</f>
        <v/>
      </c>
      <c r="AA45" s="864" t="str">
        <f ca="1">IF($P45&gt;'Additional Input'!$E$11+1,"",-IF(P45&lt;Calculator!$K$8,Calculator!$J$8,0))</f>
        <v/>
      </c>
      <c r="AC45" s="356">
        <f>IF('Additional Input'!N53=2011,5120000,ROUNDDOWN($AC$4*(1+$AC$3)^Projections!A46,-4))</f>
        <v>11820000</v>
      </c>
      <c r="AD45" s="786">
        <f>Calculator!$D$30</f>
        <v>0.4</v>
      </c>
      <c r="AE45" s="773">
        <v>112</v>
      </c>
      <c r="AF45" s="774">
        <v>2.6</v>
      </c>
    </row>
    <row r="46" spans="1:32">
      <c r="A46" s="799">
        <f t="shared" si="4"/>
        <v>16</v>
      </c>
      <c r="B46" s="801">
        <f t="shared" si="5"/>
        <v>0</v>
      </c>
      <c r="C46" s="801">
        <f t="shared" si="3"/>
        <v>0</v>
      </c>
      <c r="D46" s="802">
        <f>SUM(C210:C221)</f>
        <v>0</v>
      </c>
      <c r="O46" s="271"/>
      <c r="P46" s="780">
        <f t="shared" si="2"/>
        <v>41</v>
      </c>
      <c r="Q46" s="564" t="str">
        <f ca="1">IF(P46&gt;'Additional Input'!$E$11+1,"",IF('Additional Input'!$N$9="","",'Additional Input'!$N$9+Projections!A46)&amp;"/"&amp;IF('Additional Input'!$O$9="","",IF('Additional Input'!$O$9=0,"",'Additional Input'!$O$9+Projections!A46)))</f>
        <v/>
      </c>
      <c r="R46" s="781" t="str">
        <f ca="1">IF($P46&gt;'Additional Input'!$E$11+1,"",+R45+1)</f>
        <v/>
      </c>
      <c r="S46" s="782" t="str">
        <f ca="1">IF($P46&gt;'Additional Input'!$E$11+1,"",S45*(1+'Additional Input'!$D$13))</f>
        <v/>
      </c>
      <c r="T46" s="782" t="str">
        <f ca="1">IF($P46&gt;'Additional Input'!$E$11+1,"",ROUNDDOWN(S46,-3))</f>
        <v/>
      </c>
      <c r="U46" s="569" t="str">
        <f ca="1">IF($P46&gt;'Additional Input'!$E$11+1,"",IF(Calculator!$D$19=TRUE,Calculator!$D$18*IF(Calculator!$F$18=TRUE,2,1)*TaxTables!$T46,IF(P46&lt;Calculator!$H$19,Calculator!$F$19,0)))</f>
        <v/>
      </c>
      <c r="V46" s="783" t="str">
        <f ca="1">IF($P46&gt;'Additional Input'!$E$11+1,"",IF(P46&lt;Calculator!$H$20,IF(Calculator!$D$20=TRUE,-Calculator!$F$20,0),0)-IF(P46&lt;Calculator!$K$8,Calculator!$J$8,0))</f>
        <v/>
      </c>
      <c r="W46" s="783" t="str">
        <f ca="1">IF($P46&gt;'Additional Input'!$E$11+1,"",U46+V46)</f>
        <v/>
      </c>
      <c r="X46" s="787" t="str">
        <f ca="1">IF($P46&gt;'Additional Input'!$E$11+1,"",(X45*(1+$X$4))+W46)</f>
        <v/>
      </c>
      <c r="Z46" s="788" t="str">
        <f ca="1">IF($P46&gt;'Additional Input'!$E$11+1,"",(Z45*(1+$Z$4))+U46+AA46)</f>
        <v/>
      </c>
      <c r="AA46" s="864" t="str">
        <f ca="1">IF($P46&gt;'Additional Input'!$E$11+1,"",-IF(P46&lt;Calculator!$K$8,Calculator!$J$8,0))</f>
        <v/>
      </c>
      <c r="AC46" s="356">
        <f>IF('Additional Input'!N54=2011,5120000,ROUNDDOWN($AC$4*(1+$AC$3)^Projections!A47,-4))</f>
        <v>12060000</v>
      </c>
      <c r="AD46" s="786">
        <f>Calculator!$D$30</f>
        <v>0.4</v>
      </c>
      <c r="AE46" s="773">
        <v>113</v>
      </c>
      <c r="AF46" s="774">
        <v>2.4</v>
      </c>
    </row>
    <row r="47" spans="1:32">
      <c r="A47" s="799">
        <f t="shared" si="4"/>
        <v>17</v>
      </c>
      <c r="B47" s="801">
        <f t="shared" si="5"/>
        <v>0</v>
      </c>
      <c r="C47" s="801">
        <f t="shared" si="3"/>
        <v>0</v>
      </c>
      <c r="D47" s="802">
        <f>SUM(C222:C233)</f>
        <v>0</v>
      </c>
      <c r="O47" s="271"/>
      <c r="P47" s="780">
        <f t="shared" si="2"/>
        <v>42</v>
      </c>
      <c r="Q47" s="564" t="str">
        <f ca="1">IF(P47&gt;'Additional Input'!$E$11+1,"",IF('Additional Input'!$N$9="","",'Additional Input'!$N$9+Projections!A47)&amp;"/"&amp;IF('Additional Input'!$O$9="","",IF('Additional Input'!$O$9=0,"",'Additional Input'!$O$9+Projections!A47)))</f>
        <v/>
      </c>
      <c r="R47" s="781" t="str">
        <f ca="1">IF($P47&gt;'Additional Input'!$E$11+1,"",+R46+1)</f>
        <v/>
      </c>
      <c r="S47" s="782" t="str">
        <f ca="1">IF($P47&gt;'Additional Input'!$E$11+1,"",S46*(1+'Additional Input'!$D$13))</f>
        <v/>
      </c>
      <c r="T47" s="782" t="str">
        <f ca="1">IF($P47&gt;'Additional Input'!$E$11+1,"",ROUNDDOWN(S47,-3))</f>
        <v/>
      </c>
      <c r="U47" s="569" t="str">
        <f ca="1">IF($P47&gt;'Additional Input'!$E$11+1,"",IF(Calculator!$D$19=TRUE,Calculator!$D$18*IF(Calculator!$F$18=TRUE,2,1)*TaxTables!$T47,IF(P47&lt;Calculator!$H$19,Calculator!$F$19,0)))</f>
        <v/>
      </c>
      <c r="V47" s="783" t="str">
        <f ca="1">IF($P47&gt;'Additional Input'!$E$11+1,"",IF(P47&lt;Calculator!$H$20,IF(Calculator!$D$20=TRUE,-Calculator!$F$20,0),0)-IF(P47&lt;Calculator!$K$8,Calculator!$J$8,0))</f>
        <v/>
      </c>
      <c r="W47" s="783" t="str">
        <f ca="1">IF($P47&gt;'Additional Input'!$E$11+1,"",U47+V47)</f>
        <v/>
      </c>
      <c r="X47" s="787" t="str">
        <f ca="1">IF($P47&gt;'Additional Input'!$E$11+1,"",(X46*(1+$X$4))+W47)</f>
        <v/>
      </c>
      <c r="Z47" s="788" t="str">
        <f ca="1">IF($P47&gt;'Additional Input'!$E$11+1,"",(Z46*(1+$Z$4))+U47+AA47)</f>
        <v/>
      </c>
      <c r="AA47" s="864" t="str">
        <f ca="1">IF($P47&gt;'Additional Input'!$E$11+1,"",-IF(P47&lt;Calculator!$K$8,Calculator!$J$8,0))</f>
        <v/>
      </c>
      <c r="AC47" s="356">
        <f>IF('Additional Input'!N55=2011,5120000,ROUNDDOWN($AC$4*(1+$AC$3)^Projections!A48,-4))</f>
        <v>12300000</v>
      </c>
      <c r="AD47" s="786">
        <f>Calculator!$D$30</f>
        <v>0.4</v>
      </c>
      <c r="AE47" s="773">
        <v>114</v>
      </c>
      <c r="AF47" s="774">
        <v>2.1</v>
      </c>
    </row>
    <row r="48" spans="1:32">
      <c r="A48" s="799">
        <f t="shared" si="4"/>
        <v>18</v>
      </c>
      <c r="B48" s="801">
        <f t="shared" si="5"/>
        <v>0</v>
      </c>
      <c r="C48" s="801">
        <f t="shared" si="3"/>
        <v>0</v>
      </c>
      <c r="D48" s="802">
        <f>SUM(C234:C245)</f>
        <v>0</v>
      </c>
      <c r="O48" s="271"/>
      <c r="P48" s="780">
        <f t="shared" si="2"/>
        <v>43</v>
      </c>
      <c r="Q48" s="564" t="str">
        <f ca="1">IF(P48&gt;'Additional Input'!$E$11+1,"",IF('Additional Input'!$N$9="","",'Additional Input'!$N$9+Projections!A48)&amp;"/"&amp;IF('Additional Input'!$O$9="","",IF('Additional Input'!$O$9=0,"",'Additional Input'!$O$9+Projections!A48)))</f>
        <v/>
      </c>
      <c r="R48" s="781" t="str">
        <f ca="1">IF($P48&gt;'Additional Input'!$E$11+1,"",+R47+1)</f>
        <v/>
      </c>
      <c r="S48" s="782" t="str">
        <f ca="1">IF($P48&gt;'Additional Input'!$E$11+1,"",S47*(1+'Additional Input'!$D$13))</f>
        <v/>
      </c>
      <c r="T48" s="782" t="str">
        <f ca="1">IF($P48&gt;'Additional Input'!$E$11+1,"",ROUNDDOWN(S48,-3))</f>
        <v/>
      </c>
      <c r="U48" s="569" t="str">
        <f ca="1">IF($P48&gt;'Additional Input'!$E$11+1,"",IF(Calculator!$D$19=TRUE,Calculator!$D$18*IF(Calculator!$F$18=TRUE,2,1)*TaxTables!$T48,IF(P48&lt;Calculator!$H$19,Calculator!$F$19,0)))</f>
        <v/>
      </c>
      <c r="V48" s="783" t="str">
        <f ca="1">IF($P48&gt;'Additional Input'!$E$11+1,"",IF(P48&lt;Calculator!$H$20,IF(Calculator!$D$20=TRUE,-Calculator!$F$20,0),0)-IF(P48&lt;Calculator!$K$8,Calculator!$J$8,0))</f>
        <v/>
      </c>
      <c r="W48" s="783" t="str">
        <f ca="1">IF($P48&gt;'Additional Input'!$E$11+1,"",U48+V48)</f>
        <v/>
      </c>
      <c r="X48" s="787" t="str">
        <f ca="1">IF($P48&gt;'Additional Input'!$E$11+1,"",(X47*(1+$X$4))+W48)</f>
        <v/>
      </c>
      <c r="Z48" s="788" t="str">
        <f ca="1">IF($P48&gt;'Additional Input'!$E$11+1,"",(Z47*(1+$Z$4))+U48+AA48)</f>
        <v/>
      </c>
      <c r="AA48" s="864" t="str">
        <f ca="1">IF($P48&gt;'Additional Input'!$E$11+1,"",-IF(P48&lt;Calculator!$K$8,Calculator!$J$8,0))</f>
        <v/>
      </c>
      <c r="AC48" s="356">
        <f>IF('Additional Input'!N56=2011,5120000,ROUNDDOWN($AC$4*(1+$AC$3)^Projections!A49,-4))</f>
        <v>12540000</v>
      </c>
      <c r="AD48" s="786">
        <f>Calculator!$D$30</f>
        <v>0.4</v>
      </c>
      <c r="AE48" s="805">
        <v>115</v>
      </c>
      <c r="AF48" s="806">
        <v>1.9</v>
      </c>
    </row>
    <row r="49" spans="1:32">
      <c r="A49" s="799">
        <f t="shared" si="4"/>
        <v>19</v>
      </c>
      <c r="B49" s="801">
        <f t="shared" si="5"/>
        <v>0</v>
      </c>
      <c r="C49" s="801">
        <f t="shared" si="3"/>
        <v>0</v>
      </c>
      <c r="D49" s="802">
        <f>SUM(C246:C257)</f>
        <v>0</v>
      </c>
      <c r="O49" s="271"/>
      <c r="P49" s="780">
        <f t="shared" ref="P49:P58" si="6">+P48+1</f>
        <v>44</v>
      </c>
      <c r="Q49" s="564" t="str">
        <f ca="1">IF(P49&gt;'Additional Input'!$E$11+1,"",IF('Additional Input'!$N$9="","",'Additional Input'!$N$9+Projections!A49)&amp;"/"&amp;IF('Additional Input'!$O$9="","",IF('Additional Input'!$O$9=0,"",'Additional Input'!$O$9+Projections!A49)))</f>
        <v/>
      </c>
      <c r="R49" s="781" t="str">
        <f ca="1">IF($P49&gt;'Additional Input'!$E$11+1,"",+R48+1)</f>
        <v/>
      </c>
      <c r="S49" s="782" t="str">
        <f ca="1">IF($P49&gt;'Additional Input'!$E$11+1,"",S48*(1+'Additional Input'!$D$13))</f>
        <v/>
      </c>
      <c r="T49" s="782" t="str">
        <f ca="1">IF($P49&gt;'Additional Input'!$E$11+1,"",ROUNDDOWN(S49,-3))</f>
        <v/>
      </c>
      <c r="U49" s="569" t="str">
        <f ca="1">IF($P49&gt;'Additional Input'!$E$11+1,"",IF(Calculator!$D$19=TRUE,Calculator!$D$18*IF(Calculator!$F$18=TRUE,2,1)*TaxTables!$T49,IF(P49&lt;Calculator!$H$19,Calculator!$F$19,0)))</f>
        <v/>
      </c>
      <c r="V49" s="783" t="str">
        <f ca="1">IF($P49&gt;'Additional Input'!$E$11+1,"",IF(P49&lt;Calculator!$H$20,IF(Calculator!$D$20=TRUE,-Calculator!$F$20,0),0)-IF(P49&lt;Calculator!$K$8,Calculator!$J$8,0))</f>
        <v/>
      </c>
      <c r="W49" s="783" t="str">
        <f ca="1">IF($P49&gt;'Additional Input'!$E$11+1,"",U49+V49)</f>
        <v/>
      </c>
      <c r="X49" s="787" t="str">
        <f ca="1">IF($P49&gt;'Additional Input'!$E$11+1,"",(X48*(1+$X$4))+W49)</f>
        <v/>
      </c>
      <c r="Z49" s="788" t="str">
        <f ca="1">IF($P49&gt;'Additional Input'!$E$11+1,"",(Z48*(1+$Z$4))+U49+AA49)</f>
        <v/>
      </c>
      <c r="AA49" s="864" t="str">
        <f ca="1">IF($P49&gt;'Additional Input'!$E$11+1,"",-IF(P49&lt;Calculator!$K$8,Calculator!$J$8,0))</f>
        <v/>
      </c>
      <c r="AC49" s="356">
        <f>IF('Additional Input'!N57=2011,5120000,ROUNDDOWN($AC$4*(1+$AC$3)^Projections!A50,-4))</f>
        <v>12790000</v>
      </c>
      <c r="AD49" s="786">
        <f>Calculator!$D$30</f>
        <v>0.4</v>
      </c>
      <c r="AE49" s="807"/>
      <c r="AF49" s="808"/>
    </row>
    <row r="50" spans="1:32">
      <c r="A50" s="799">
        <f t="shared" si="4"/>
        <v>20</v>
      </c>
      <c r="B50" s="801">
        <f t="shared" si="5"/>
        <v>0</v>
      </c>
      <c r="C50" s="801">
        <f t="shared" si="3"/>
        <v>0</v>
      </c>
      <c r="D50" s="802">
        <f>SUM(C258:C269)</f>
        <v>0</v>
      </c>
      <c r="O50" s="271"/>
      <c r="P50" s="780">
        <f t="shared" si="6"/>
        <v>45</v>
      </c>
      <c r="Q50" s="564" t="str">
        <f ca="1">IF(P50&gt;'Additional Input'!$E$11+1,"",IF('Additional Input'!$N$9="","",'Additional Input'!$N$9+Projections!A50)&amp;"/"&amp;IF('Additional Input'!$O$9="","",IF('Additional Input'!$O$9=0,"",'Additional Input'!$O$9+Projections!A50)))</f>
        <v/>
      </c>
      <c r="R50" s="781" t="str">
        <f ca="1">IF($P50&gt;'Additional Input'!$E$11+1,"",+R49+1)</f>
        <v/>
      </c>
      <c r="S50" s="782" t="str">
        <f ca="1">IF($P50&gt;'Additional Input'!$E$11+1,"",S49*(1+'Additional Input'!$D$13))</f>
        <v/>
      </c>
      <c r="T50" s="782" t="str">
        <f ca="1">IF($P50&gt;'Additional Input'!$E$11+1,"",ROUNDDOWN(S50,-3))</f>
        <v/>
      </c>
      <c r="U50" s="569" t="str">
        <f ca="1">IF($P50&gt;'Additional Input'!$E$11+1,"",IF(Calculator!$D$19=TRUE,Calculator!$D$18*IF(Calculator!$F$18=TRUE,2,1)*TaxTables!$T50,IF(P50&lt;Calculator!$H$19,Calculator!$F$19,0)))</f>
        <v/>
      </c>
      <c r="V50" s="783" t="str">
        <f ca="1">IF($P50&gt;'Additional Input'!$E$11+1,"",IF(P50&lt;Calculator!$H$20,IF(Calculator!$D$20=TRUE,-Calculator!$F$20,0),0)-IF(P50&lt;Calculator!$K$8,Calculator!$J$8,0))</f>
        <v/>
      </c>
      <c r="W50" s="783" t="str">
        <f ca="1">IF($P50&gt;'Additional Input'!$E$11+1,"",U50+V50)</f>
        <v/>
      </c>
      <c r="X50" s="787" t="str">
        <f ca="1">IF($P50&gt;'Additional Input'!$E$11+1,"",(X49*(1+$X$4))+W50)</f>
        <v/>
      </c>
      <c r="Z50" s="788" t="str">
        <f ca="1">IF($P50&gt;'Additional Input'!$E$11+1,"",(Z49*(1+$Z$4))+U50+AA50)</f>
        <v/>
      </c>
      <c r="AA50" s="864" t="str">
        <f ca="1">IF($P50&gt;'Additional Input'!$E$11+1,"",-IF(P50&lt;Calculator!$K$8,Calculator!$J$8,0))</f>
        <v/>
      </c>
      <c r="AC50" s="356">
        <f>IF('Additional Input'!N58=2011,5120000,ROUNDDOWN($AC$4*(1+$AC$3)^Projections!A51,-4))</f>
        <v>13050000</v>
      </c>
      <c r="AD50" s="786">
        <f>Calculator!$D$30</f>
        <v>0.4</v>
      </c>
      <c r="AE50" s="809"/>
      <c r="AF50" s="810"/>
    </row>
    <row r="51" spans="1:32">
      <c r="A51" s="799">
        <f t="shared" si="4"/>
        <v>21</v>
      </c>
      <c r="B51" s="801">
        <f t="shared" si="5"/>
        <v>0</v>
      </c>
      <c r="C51" s="801">
        <f t="shared" si="3"/>
        <v>0</v>
      </c>
      <c r="D51" s="802">
        <f>SUM(C270:C281)</f>
        <v>0</v>
      </c>
      <c r="O51" s="271"/>
      <c r="P51" s="780">
        <f t="shared" si="6"/>
        <v>46</v>
      </c>
      <c r="Q51" s="564" t="str">
        <f ca="1">IF(P51&gt;'Additional Input'!$E$11+1,"",IF('Additional Input'!$N$9="","",'Additional Input'!$N$9+Projections!A51)&amp;"/"&amp;IF('Additional Input'!$O$9="","",IF('Additional Input'!$O$9=0,"",'Additional Input'!$O$9+Projections!A51)))</f>
        <v/>
      </c>
      <c r="R51" s="781" t="str">
        <f ca="1">IF($P51&gt;'Additional Input'!$E$11+1,"",+R50+1)</f>
        <v/>
      </c>
      <c r="S51" s="782" t="str">
        <f ca="1">IF($P51&gt;'Additional Input'!$E$11+1,"",S50*(1+'Additional Input'!$D$13))</f>
        <v/>
      </c>
      <c r="T51" s="782" t="str">
        <f ca="1">IF($P51&gt;'Additional Input'!$E$11+1,"",ROUNDDOWN(S51,-3))</f>
        <v/>
      </c>
      <c r="U51" s="569" t="str">
        <f ca="1">IF($P51&gt;'Additional Input'!$E$11+1,"",IF(Calculator!$D$19=TRUE,Calculator!$D$18*IF(Calculator!$F$18=TRUE,2,1)*TaxTables!$T51,IF(P51&lt;Calculator!$H$19,Calculator!$F$19,0)))</f>
        <v/>
      </c>
      <c r="V51" s="783" t="str">
        <f ca="1">IF($P51&gt;'Additional Input'!$E$11+1,"",IF(P51&lt;Calculator!$H$20,IF(Calculator!$D$20=TRUE,-Calculator!$F$20,0),0)-IF(P51&lt;Calculator!$K$8,Calculator!$J$8,0))</f>
        <v/>
      </c>
      <c r="W51" s="783" t="str">
        <f ca="1">IF($P51&gt;'Additional Input'!$E$11+1,"",U51+V51)</f>
        <v/>
      </c>
      <c r="X51" s="787" t="str">
        <f ca="1">IF($P51&gt;'Additional Input'!$E$11+1,"",(X50*(1+$X$4))+W51)</f>
        <v/>
      </c>
      <c r="Z51" s="788" t="str">
        <f ca="1">IF($P51&gt;'Additional Input'!$E$11+1,"",(Z50*(1+$Z$4))+U51+AA51)</f>
        <v/>
      </c>
      <c r="AA51" s="864" t="str">
        <f ca="1">IF($P51&gt;'Additional Input'!$E$11+1,"",-IF(P51&lt;Calculator!$K$8,Calculator!$J$8,0))</f>
        <v/>
      </c>
      <c r="AC51" s="356">
        <f>IF('Additional Input'!N59=2011,5120000,ROUNDDOWN($AC$4*(1+$AC$3)^Projections!A52,-4))</f>
        <v>13310000</v>
      </c>
      <c r="AD51" s="786">
        <f>Calculator!$D$30</f>
        <v>0.4</v>
      </c>
      <c r="AE51" s="809"/>
      <c r="AF51" s="810"/>
    </row>
    <row r="52" spans="1:32">
      <c r="A52" s="799">
        <f t="shared" si="4"/>
        <v>22</v>
      </c>
      <c r="B52" s="801">
        <f t="shared" si="5"/>
        <v>0</v>
      </c>
      <c r="C52" s="801">
        <f t="shared" si="3"/>
        <v>0</v>
      </c>
      <c r="D52" s="802">
        <f>SUM(C282:C293)</f>
        <v>0</v>
      </c>
      <c r="O52" s="271"/>
      <c r="P52" s="780">
        <f t="shared" si="6"/>
        <v>47</v>
      </c>
      <c r="Q52" s="564" t="str">
        <f ca="1">IF(P52&gt;'Additional Input'!$E$11+1,"",IF('Additional Input'!$N$9="","",'Additional Input'!$N$9+Projections!A52)&amp;"/"&amp;IF('Additional Input'!$O$9="","",IF('Additional Input'!$O$9=0,"",'Additional Input'!$O$9+Projections!A52)))</f>
        <v/>
      </c>
      <c r="R52" s="781" t="str">
        <f ca="1">IF($P52&gt;'Additional Input'!$E$11+1,"",+R51+1)</f>
        <v/>
      </c>
      <c r="S52" s="782" t="str">
        <f ca="1">IF($P52&gt;'Additional Input'!$E$11+1,"",S51*(1+'Additional Input'!$D$13))</f>
        <v/>
      </c>
      <c r="T52" s="782" t="str">
        <f ca="1">IF($P52&gt;'Additional Input'!$E$11+1,"",ROUNDDOWN(S52,-3))</f>
        <v/>
      </c>
      <c r="U52" s="569" t="str">
        <f ca="1">IF($P52&gt;'Additional Input'!$E$11+1,"",IF(Calculator!$D$19=TRUE,Calculator!$D$18*IF(Calculator!$F$18=TRUE,2,1)*TaxTables!$T52,IF(P52&lt;Calculator!$H$19,Calculator!$F$19,0)))</f>
        <v/>
      </c>
      <c r="V52" s="783" t="str">
        <f ca="1">IF($P52&gt;'Additional Input'!$E$11+1,"",IF(P52&lt;Calculator!$H$20,IF(Calculator!$D$20=TRUE,-Calculator!$F$20,0),0)-IF(P52&lt;Calculator!$K$8,Calculator!$J$8,0))</f>
        <v/>
      </c>
      <c r="W52" s="783" t="str">
        <f ca="1">IF($P52&gt;'Additional Input'!$E$11+1,"",U52+V52)</f>
        <v/>
      </c>
      <c r="X52" s="787" t="str">
        <f ca="1">IF($P52&gt;'Additional Input'!$E$11+1,"",(X51*(1+$X$4))+W52)</f>
        <v/>
      </c>
      <c r="Z52" s="788" t="str">
        <f ca="1">IF($P52&gt;'Additional Input'!$E$11+1,"",(Z51*(1+$Z$4))+U52+AA52)</f>
        <v/>
      </c>
      <c r="AA52" s="864" t="str">
        <f ca="1">IF($P52&gt;'Additional Input'!$E$11+1,"",-IF(P52&lt;Calculator!$K$8,Calculator!$J$8,0))</f>
        <v/>
      </c>
      <c r="AC52" s="356">
        <f>IF('Additional Input'!N60=2011,5120000,ROUNDDOWN($AC$4*(1+$AC$3)^Projections!A53,-4))</f>
        <v>13580000</v>
      </c>
      <c r="AD52" s="786">
        <f>Calculator!$D$30</f>
        <v>0.4</v>
      </c>
      <c r="AE52" s="809"/>
      <c r="AF52" s="810"/>
    </row>
    <row r="53" spans="1:32">
      <c r="A53" s="799">
        <f t="shared" si="4"/>
        <v>23</v>
      </c>
      <c r="B53" s="801">
        <f t="shared" si="5"/>
        <v>0</v>
      </c>
      <c r="C53" s="801">
        <f t="shared" si="3"/>
        <v>0</v>
      </c>
      <c r="D53" s="802">
        <f>SUM(C294:C305)</f>
        <v>0</v>
      </c>
      <c r="O53" s="271"/>
      <c r="P53" s="780">
        <f t="shared" si="6"/>
        <v>48</v>
      </c>
      <c r="Q53" s="564" t="str">
        <f ca="1">IF(P53&gt;'Additional Input'!$E$11+1,"",IF('Additional Input'!$N$9="","",'Additional Input'!$N$9+Projections!A53)&amp;"/"&amp;IF('Additional Input'!$O$9="","",IF('Additional Input'!$O$9=0,"",'Additional Input'!$O$9+Projections!A53)))</f>
        <v/>
      </c>
      <c r="R53" s="781" t="str">
        <f ca="1">IF($P53&gt;'Additional Input'!$E$11+1,"",+R52+1)</f>
        <v/>
      </c>
      <c r="S53" s="782" t="str">
        <f ca="1">IF($P53&gt;'Additional Input'!$E$11+1,"",S52*(1+'Additional Input'!$D$13))</f>
        <v/>
      </c>
      <c r="T53" s="782" t="str">
        <f ca="1">IF($P53&gt;'Additional Input'!$E$11+1,"",ROUNDDOWN(S53,-3))</f>
        <v/>
      </c>
      <c r="U53" s="569" t="str">
        <f ca="1">IF($P53&gt;'Additional Input'!$E$11+1,"",IF(Calculator!$D$19=TRUE,Calculator!$D$18*IF(Calculator!$F$18=TRUE,2,1)*TaxTables!$T53,IF(P53&lt;Calculator!$H$19,Calculator!$F$19,0)))</f>
        <v/>
      </c>
      <c r="V53" s="783" t="str">
        <f ca="1">IF($P53&gt;'Additional Input'!$E$11+1,"",IF(P53&lt;Calculator!$H$20,IF(Calculator!$D$20=TRUE,-Calculator!$F$20,0),0)-IF(P53&lt;Calculator!$K$8,Calculator!$J$8,0))</f>
        <v/>
      </c>
      <c r="W53" s="783" t="str">
        <f ca="1">IF($P53&gt;'Additional Input'!$E$11+1,"",U53+V53)</f>
        <v/>
      </c>
      <c r="X53" s="787" t="str">
        <f ca="1">IF($P53&gt;'Additional Input'!$E$11+1,"",(X52*(1+$X$4))+W53)</f>
        <v/>
      </c>
      <c r="Z53" s="788" t="str">
        <f ca="1">IF($P53&gt;'Additional Input'!$E$11+1,"",(Z52*(1+$Z$4))+U53+AA53)</f>
        <v/>
      </c>
      <c r="AA53" s="864" t="str">
        <f ca="1">IF($P53&gt;'Additional Input'!$E$11+1,"",-IF(P53&lt;Calculator!$K$8,Calculator!$J$8,0))</f>
        <v/>
      </c>
      <c r="AC53" s="356">
        <f>IF('Additional Input'!N61=2011,5120000,ROUNDDOWN($AC$4*(1+$AC$3)^Projections!A54,-4))</f>
        <v>13850000</v>
      </c>
      <c r="AD53" s="786">
        <f>Calculator!$D$30</f>
        <v>0.4</v>
      </c>
      <c r="AE53" s="809"/>
      <c r="AF53" s="810"/>
    </row>
    <row r="54" spans="1:32">
      <c r="A54" s="804">
        <f t="shared" si="4"/>
        <v>24</v>
      </c>
      <c r="B54" s="801">
        <f t="shared" si="5"/>
        <v>0</v>
      </c>
      <c r="C54" s="801">
        <f t="shared" si="3"/>
        <v>0</v>
      </c>
      <c r="D54" s="802">
        <f>SUM(C306:C317)</f>
        <v>0</v>
      </c>
      <c r="O54" s="271"/>
      <c r="P54" s="780">
        <f t="shared" si="6"/>
        <v>49</v>
      </c>
      <c r="Q54" s="564" t="str">
        <f ca="1">IF(P54&gt;'Additional Input'!$E$11+1,"",IF('Additional Input'!$N$9="","",'Additional Input'!$N$9+Projections!A54)&amp;"/"&amp;IF('Additional Input'!$O$9="","",IF('Additional Input'!$O$9=0,"",'Additional Input'!$O$9+Projections!A54)))</f>
        <v/>
      </c>
      <c r="R54" s="781" t="str">
        <f ca="1">IF($P54&gt;'Additional Input'!$E$11+1,"",+R53+1)</f>
        <v/>
      </c>
      <c r="S54" s="782" t="str">
        <f ca="1">IF($P54&gt;'Additional Input'!$E$11+1,"",S53*(1+'Additional Input'!$D$13))</f>
        <v/>
      </c>
      <c r="T54" s="782" t="str">
        <f ca="1">IF($P54&gt;'Additional Input'!$E$11+1,"",ROUNDDOWN(S54,-3))</f>
        <v/>
      </c>
      <c r="U54" s="569" t="str">
        <f ca="1">IF($P54&gt;'Additional Input'!$E$11+1,"",IF(Calculator!$D$19=TRUE,Calculator!$D$18*IF(Calculator!$F$18=TRUE,2,1)*TaxTables!$T54,IF(P54&lt;Calculator!$H$19,Calculator!$F$19,0)))</f>
        <v/>
      </c>
      <c r="V54" s="783" t="str">
        <f ca="1">IF($P54&gt;'Additional Input'!$E$11+1,"",IF(P54&lt;Calculator!$H$20,IF(Calculator!$D$20=TRUE,-Calculator!$F$20,0),0)-IF(P54&lt;Calculator!$K$8,Calculator!$J$8,0))</f>
        <v/>
      </c>
      <c r="W54" s="783" t="str">
        <f ca="1">IF($P54&gt;'Additional Input'!$E$11+1,"",U54+V54)</f>
        <v/>
      </c>
      <c r="X54" s="787" t="str">
        <f ca="1">IF($P54&gt;'Additional Input'!$E$11+1,"",(X53*(1+$X$4))+W54)</f>
        <v/>
      </c>
      <c r="Z54" s="788" t="str">
        <f ca="1">IF($P54&gt;'Additional Input'!$E$11+1,"",(Z53*(1+$Z$4))+U54+AA54)</f>
        <v/>
      </c>
      <c r="AA54" s="864" t="str">
        <f ca="1">IF($P54&gt;'Additional Input'!$E$11+1,"",-IF(P54&lt;Calculator!$K$8,Calculator!$J$8,0))</f>
        <v/>
      </c>
      <c r="AC54" s="356">
        <f>IF('Additional Input'!N62=2011,5120000,ROUNDDOWN($AC$4*(1+$AC$3)^Projections!A55,-4))</f>
        <v>14130000</v>
      </c>
      <c r="AD54" s="786">
        <f>Calculator!$D$30</f>
        <v>0.4</v>
      </c>
      <c r="AE54" s="809"/>
      <c r="AF54" s="810"/>
    </row>
    <row r="55" spans="1:32">
      <c r="A55" s="799">
        <f t="shared" si="4"/>
        <v>25</v>
      </c>
      <c r="B55" s="801">
        <f t="shared" si="5"/>
        <v>0</v>
      </c>
      <c r="C55" s="801">
        <f t="shared" si="3"/>
        <v>0</v>
      </c>
      <c r="D55" s="802">
        <f>SUM(C318:C329)</f>
        <v>0</v>
      </c>
      <c r="O55" s="271"/>
      <c r="P55" s="780">
        <f t="shared" si="6"/>
        <v>50</v>
      </c>
      <c r="Q55" s="564" t="str">
        <f ca="1">IF(P55&gt;'Additional Input'!$E$11+1,"",IF('Additional Input'!$N$9="","",'Additional Input'!$N$9+Projections!A55)&amp;"/"&amp;IF('Additional Input'!$O$9="","",IF('Additional Input'!$O$9=0,"",'Additional Input'!$O$9+Projections!A55)))</f>
        <v/>
      </c>
      <c r="R55" s="781" t="str">
        <f ca="1">IF($P55&gt;'Additional Input'!$E$11+1,"",+R54+1)</f>
        <v/>
      </c>
      <c r="S55" s="782" t="str">
        <f ca="1">IF($P55&gt;'Additional Input'!$E$11+1,"",S54*(1+'Additional Input'!$D$13))</f>
        <v/>
      </c>
      <c r="T55" s="782" t="str">
        <f ca="1">IF($P55&gt;'Additional Input'!$E$11+1,"",ROUNDDOWN(S55,-3))</f>
        <v/>
      </c>
      <c r="U55" s="569" t="str">
        <f ca="1">IF($P55&gt;'Additional Input'!$E$11+1,"",IF(Calculator!$D$19=TRUE,Calculator!$D$18*IF(Calculator!$F$18=TRUE,2,1)*TaxTables!$T55,IF(P55&lt;Calculator!$H$19,Calculator!$F$19,0)))</f>
        <v/>
      </c>
      <c r="V55" s="783" t="str">
        <f ca="1">IF($P55&gt;'Additional Input'!$E$11+1,"",IF(P55&lt;Calculator!$H$20,IF(Calculator!$D$20=TRUE,-Calculator!$F$20,0),0)-IF(P55&lt;Calculator!$K$8,Calculator!$J$8,0))</f>
        <v/>
      </c>
      <c r="W55" s="783" t="str">
        <f ca="1">IF($P55&gt;'Additional Input'!$E$11+1,"",U55+V55)</f>
        <v/>
      </c>
      <c r="X55" s="787" t="str">
        <f ca="1">IF($P55&gt;'Additional Input'!$E$11+1,"",(X54*(1+$X$4))+W55)</f>
        <v/>
      </c>
      <c r="Z55" s="788" t="str">
        <f ca="1">IF($P55&gt;'Additional Input'!$E$11+1,"",(Z54*(1+$Z$4))+U55+AA55)</f>
        <v/>
      </c>
      <c r="AA55" s="864" t="str">
        <f ca="1">IF($P55&gt;'Additional Input'!$E$11+1,"",-IF(P55&lt;Calculator!$K$8,Calculator!$J$8,0))</f>
        <v/>
      </c>
      <c r="AC55" s="356">
        <f>IF('Additional Input'!N63=2011,5120000,ROUNDDOWN($AC$4*(1+$AC$3)^Projections!A56,-4))</f>
        <v>14410000</v>
      </c>
      <c r="AD55" s="786">
        <f>Calculator!$D$30</f>
        <v>0.4</v>
      </c>
      <c r="AE55" s="809"/>
      <c r="AF55" s="810"/>
    </row>
    <row r="56" spans="1:32">
      <c r="A56" s="799">
        <f t="shared" si="4"/>
        <v>26</v>
      </c>
      <c r="B56" s="801">
        <f t="shared" si="5"/>
        <v>0</v>
      </c>
      <c r="C56" s="801">
        <f t="shared" si="3"/>
        <v>0</v>
      </c>
      <c r="D56" s="802">
        <f>SUM(C330:C341)</f>
        <v>0</v>
      </c>
      <c r="O56" s="271"/>
      <c r="P56" s="780">
        <f t="shared" si="6"/>
        <v>51</v>
      </c>
      <c r="Q56" s="564" t="str">
        <f ca="1">IF(P56&gt;'Additional Input'!$E$11+1,"",IF('Additional Input'!$N$9="","",'Additional Input'!$N$9+Projections!A56)&amp;"/"&amp;IF('Additional Input'!$O$9="","",IF('Additional Input'!$O$9=0,"",'Additional Input'!$O$9+Projections!A56)))</f>
        <v/>
      </c>
      <c r="R56" s="781" t="str">
        <f ca="1">IF($P56&gt;'Additional Input'!$E$11+1,"",+R55+1)</f>
        <v/>
      </c>
      <c r="S56" s="782" t="str">
        <f ca="1">IF($P56&gt;'Additional Input'!$E$11+1,"",S55*(1+'Additional Input'!$D$13))</f>
        <v/>
      </c>
      <c r="T56" s="782" t="str">
        <f ca="1">IF($P56&gt;'Additional Input'!$E$11+1,"",ROUNDDOWN(S56,-3))</f>
        <v/>
      </c>
      <c r="U56" s="569" t="str">
        <f ca="1">IF($P56&gt;'Additional Input'!$E$11+1,"",IF(Calculator!$D$19=TRUE,Calculator!$D$18*IF(Calculator!$F$18=TRUE,2,1)*TaxTables!$T56,IF(P56&lt;Calculator!$H$19,Calculator!$F$19,0)))</f>
        <v/>
      </c>
      <c r="V56" s="783" t="str">
        <f ca="1">IF($P56&gt;'Additional Input'!$E$11+1,"",IF(P56&lt;Calculator!$H$20,IF(Calculator!$D$20=TRUE,-Calculator!$F$20,0),0)-IF(P56&lt;Calculator!$K$8,Calculator!$J$8,0))</f>
        <v/>
      </c>
      <c r="W56" s="783" t="str">
        <f ca="1">IF($P56&gt;'Additional Input'!$E$11+1,"",U56+V56)</f>
        <v/>
      </c>
      <c r="X56" s="787" t="str">
        <f ca="1">IF($P56&gt;'Additional Input'!$E$11+1,"",(X55*(1+$X$4))+W56)</f>
        <v/>
      </c>
      <c r="Z56" s="788" t="str">
        <f ca="1">IF($P56&gt;'Additional Input'!$E$11+1,"",(Z55*(1+$Z$4))+U56+AA56)</f>
        <v/>
      </c>
      <c r="AA56" s="864" t="str">
        <f ca="1">IF($P56&gt;'Additional Input'!$E$11+1,"",-IF(P56&lt;Calculator!$K$8,Calculator!$J$8,0))</f>
        <v/>
      </c>
      <c r="AC56" s="356">
        <f>IF('Additional Input'!N64=2011,5120000,ROUNDDOWN($AC$4*(1+$AC$3)^Projections!A57,-4))</f>
        <v>14700000</v>
      </c>
      <c r="AD56" s="786">
        <f>Calculator!$D$30</f>
        <v>0.4</v>
      </c>
      <c r="AE56" s="809"/>
      <c r="AF56" s="810"/>
    </row>
    <row r="57" spans="1:32">
      <c r="A57" s="799">
        <f t="shared" si="4"/>
        <v>27</v>
      </c>
      <c r="B57" s="801">
        <f t="shared" si="5"/>
        <v>0</v>
      </c>
      <c r="C57" s="801">
        <f t="shared" si="3"/>
        <v>0</v>
      </c>
      <c r="D57" s="802">
        <f>SUM(C342:C353)</f>
        <v>0</v>
      </c>
      <c r="O57" s="271"/>
      <c r="P57" s="780">
        <f t="shared" si="6"/>
        <v>52</v>
      </c>
      <c r="Q57" s="564" t="str">
        <f ca="1">IF(P57&gt;'Additional Input'!$E$11+1,"",IF('Additional Input'!$N$9="","",'Additional Input'!$N$9+Projections!A57)&amp;"/"&amp;IF('Additional Input'!$O$9="","",IF('Additional Input'!$O$9=0,"",'Additional Input'!$O$9+Projections!A57)))</f>
        <v/>
      </c>
      <c r="R57" s="781" t="str">
        <f ca="1">IF($P57&gt;'Additional Input'!$E$11+1,"",+R56+1)</f>
        <v/>
      </c>
      <c r="S57" s="782" t="str">
        <f ca="1">IF($P57&gt;'Additional Input'!$E$11+1,"",S56*(1+'Additional Input'!$D$13))</f>
        <v/>
      </c>
      <c r="T57" s="782" t="str">
        <f ca="1">IF($P57&gt;'Additional Input'!$E$11+1,"",ROUNDDOWN(S57,-3))</f>
        <v/>
      </c>
      <c r="U57" s="569" t="str">
        <f ca="1">IF($P57&gt;'Additional Input'!$E$11+1,"",IF(Calculator!$D$19=TRUE,Calculator!$D$18*IF(Calculator!$F$18=TRUE,2,1)*TaxTables!$T57,IF(P57&lt;Calculator!$H$19,Calculator!$F$19,0)))</f>
        <v/>
      </c>
      <c r="V57" s="783" t="str">
        <f ca="1">IF($P57&gt;'Additional Input'!$E$11+1,"",IF(P57&lt;Calculator!$H$20,IF(Calculator!$D$20=TRUE,-Calculator!$F$20,0),0)-IF(P57&lt;Calculator!$K$8,Calculator!$J$8,0))</f>
        <v/>
      </c>
      <c r="W57" s="783" t="str">
        <f ca="1">IF($P57&gt;'Additional Input'!$E$11+1,"",U57+V57)</f>
        <v/>
      </c>
      <c r="X57" s="787" t="str">
        <f ca="1">IF($P57&gt;'Additional Input'!$E$11+1,"",(X56*(1+$X$4))+W57)</f>
        <v/>
      </c>
      <c r="Z57" s="788" t="str">
        <f ca="1">IF($P57&gt;'Additional Input'!$E$11+1,"",(Z56*(1+$Z$4))+U57+AA57)</f>
        <v/>
      </c>
      <c r="AA57" s="864" t="str">
        <f ca="1">IF($P57&gt;'Additional Input'!$E$11+1,"",-IF(P57&lt;Calculator!$K$8,Calculator!$J$8,0))</f>
        <v/>
      </c>
      <c r="AC57" s="356">
        <f>IF('Additional Input'!N65=2011,5120000,ROUNDDOWN($AC$4*(1+$AC$3)^Projections!A58,-4))</f>
        <v>14990000</v>
      </c>
      <c r="AD57" s="786">
        <f>Calculator!$D$30</f>
        <v>0.4</v>
      </c>
      <c r="AE57" s="809"/>
      <c r="AF57" s="810"/>
    </row>
    <row r="58" spans="1:32">
      <c r="A58" s="799">
        <f t="shared" si="4"/>
        <v>28</v>
      </c>
      <c r="B58" s="801">
        <f t="shared" si="5"/>
        <v>0</v>
      </c>
      <c r="C58" s="801">
        <f t="shared" si="3"/>
        <v>0</v>
      </c>
      <c r="D58" s="802">
        <f>SUM(C354:C365)</f>
        <v>0</v>
      </c>
      <c r="O58" s="271"/>
      <c r="P58" s="780">
        <f t="shared" si="6"/>
        <v>53</v>
      </c>
      <c r="Q58" s="564" t="str">
        <f ca="1">IF(P58&gt;'Additional Input'!$E$11+1,"",IF('Additional Input'!$N$9="","",'Additional Input'!$N$9+Projections!A58)&amp;"/"&amp;IF('Additional Input'!$O$9="","",IF('Additional Input'!$O$9=0,"",'Additional Input'!$O$9+Projections!A58)))</f>
        <v/>
      </c>
      <c r="R58" s="781" t="str">
        <f ca="1">IF($P58&gt;'Additional Input'!$E$11+1,"",+R57+1)</f>
        <v/>
      </c>
      <c r="S58" s="782" t="str">
        <f ca="1">IF($P58&gt;'Additional Input'!$E$11+1,"",S57*(1+'Additional Input'!$D$13))</f>
        <v/>
      </c>
      <c r="T58" s="782" t="str">
        <f ca="1">IF($P58&gt;'Additional Input'!$E$11+1,"",ROUNDDOWN(S58,-3))</f>
        <v/>
      </c>
      <c r="U58" s="569" t="str">
        <f ca="1">IF($P58&gt;'Additional Input'!$E$11+1,"",IF(Calculator!$D$19=TRUE,Calculator!$D$18*IF(Calculator!$F$18=TRUE,2,1)*TaxTables!$T58,IF(P58&lt;Calculator!$H$19,Calculator!$F$19,0)))</f>
        <v/>
      </c>
      <c r="V58" s="783" t="str">
        <f ca="1">IF($P58&gt;'Additional Input'!$E$11+1,"",IF(P58&lt;Calculator!$H$20,IF(Calculator!$D$20=TRUE,-Calculator!$F$20,0),0)-IF(P58&lt;Calculator!$K$8,Calculator!$J$8,0))</f>
        <v/>
      </c>
      <c r="W58" s="783" t="str">
        <f ca="1">IF($P58&gt;'Additional Input'!$E$11+1,"",U58+V58)</f>
        <v/>
      </c>
      <c r="X58" s="787" t="str">
        <f ca="1">IF($P58&gt;'Additional Input'!$E$11+1,"",(X57*(1+$X$4))+W58)</f>
        <v/>
      </c>
      <c r="Z58" s="788" t="str">
        <f ca="1">IF($P58&gt;'Additional Input'!$E$11+1,"",(Z57*(1+$Z$4))+U58+AA58)</f>
        <v/>
      </c>
      <c r="AA58" s="864" t="str">
        <f ca="1">IF($P58&gt;'Additional Input'!$E$11+1,"",-IF(P58&lt;Calculator!$K$8,Calculator!$J$8,0))</f>
        <v/>
      </c>
      <c r="AC58" s="356">
        <f>IF('Additional Input'!N66=2011,5120000,ROUNDDOWN($AC$4*(1+$AC$3)^Projections!A59,-4))</f>
        <v>15290000</v>
      </c>
      <c r="AD58" s="786">
        <f>Calculator!$D$30</f>
        <v>0.4</v>
      </c>
      <c r="AE58" s="809"/>
      <c r="AF58" s="810"/>
    </row>
    <row r="59" spans="1:32">
      <c r="A59" s="799">
        <f t="shared" si="4"/>
        <v>29</v>
      </c>
      <c r="B59" s="801">
        <f t="shared" si="5"/>
        <v>0</v>
      </c>
      <c r="C59" s="801">
        <f t="shared" si="3"/>
        <v>0</v>
      </c>
      <c r="D59" s="811">
        <f>SUM(C366:C377)</f>
        <v>0</v>
      </c>
      <c r="O59" s="271"/>
      <c r="P59" s="780">
        <f t="shared" ref="P59:P65" si="7">+P58+1</f>
        <v>54</v>
      </c>
      <c r="Q59" s="564" t="str">
        <f ca="1">IF(P59&gt;'Additional Input'!$E$11+1,"",IF('Additional Input'!$N$9="","",'Additional Input'!$N$9+Projections!A59)&amp;"/"&amp;IF('Additional Input'!$O$9="","",IF('Additional Input'!$O$9=0,"",'Additional Input'!$O$9+Projections!A59)))</f>
        <v/>
      </c>
      <c r="R59" s="781" t="str">
        <f ca="1">IF($P59&gt;'Additional Input'!$E$11+1,"",+R58+1)</f>
        <v/>
      </c>
      <c r="S59" s="782" t="str">
        <f ca="1">IF($P59&gt;'Additional Input'!$E$11+1,"",S58*(1+'Additional Input'!$D$13))</f>
        <v/>
      </c>
      <c r="T59" s="782" t="str">
        <f ca="1">IF($P59&gt;'Additional Input'!$E$11+1,"",ROUNDDOWN(S59,-3))</f>
        <v/>
      </c>
      <c r="U59" s="569" t="str">
        <f ca="1">IF($P59&gt;'Additional Input'!$E$11+1,"",IF(Calculator!$D$19=TRUE,Calculator!$D$18*IF(Calculator!$F$18=TRUE,2,1)*TaxTables!$T59,IF(P59&lt;Calculator!$H$19,Calculator!$F$19,0)))</f>
        <v/>
      </c>
      <c r="V59" s="783" t="str">
        <f ca="1">IF($P59&gt;'Additional Input'!$E$11+1,"",IF(P59&lt;Calculator!$H$20,IF(Calculator!$D$20=TRUE,-Calculator!$F$20,0),0)-IF(P59&lt;Calculator!$K$8,Calculator!$J$8,0))</f>
        <v/>
      </c>
      <c r="W59" s="783" t="str">
        <f ca="1">IF($P59&gt;'Additional Input'!$E$11+1,"",U59+V59)</f>
        <v/>
      </c>
      <c r="X59" s="787" t="str">
        <f ca="1">IF($P59&gt;'Additional Input'!$E$11+1,"",(X58*(1+$X$4))+W59)</f>
        <v/>
      </c>
      <c r="Z59" s="788" t="str">
        <f ca="1">IF($P59&gt;'Additional Input'!$E$11+1,"",(Z58*(1+$Z$4))+U59+AA59)</f>
        <v/>
      </c>
      <c r="AA59" s="864" t="str">
        <f ca="1">IF($P59&gt;'Additional Input'!$E$11+1,"",-IF(P59&lt;Calculator!$K$8,Calculator!$J$8,0))</f>
        <v/>
      </c>
      <c r="AC59" s="356">
        <f>IF('Additional Input'!N67=2011,5120000,ROUNDDOWN($AC$4*(1+$AC$3)^Projections!A60,-4))</f>
        <v>15600000</v>
      </c>
      <c r="AD59" s="786">
        <f>Calculator!$D$30</f>
        <v>0.4</v>
      </c>
      <c r="AE59" s="809"/>
      <c r="AF59" s="810"/>
    </row>
    <row r="60" spans="1:32">
      <c r="A60" s="799">
        <f t="shared" si="4"/>
        <v>30</v>
      </c>
      <c r="B60" s="801">
        <f t="shared" si="5"/>
        <v>0</v>
      </c>
      <c r="C60" s="801">
        <f t="shared" si="3"/>
        <v>0</v>
      </c>
      <c r="D60" s="802">
        <f>SUM(C378:C389)</f>
        <v>0</v>
      </c>
      <c r="O60" s="271"/>
      <c r="P60" s="780">
        <f t="shared" si="7"/>
        <v>55</v>
      </c>
      <c r="Q60" s="564" t="str">
        <f ca="1">IF(P60&gt;'Additional Input'!$E$11+1,"",IF('Additional Input'!$N$9="","",'Additional Input'!$N$9+Projections!A60)&amp;"/"&amp;IF('Additional Input'!$O$9="","",IF('Additional Input'!$O$9=0,"",'Additional Input'!$O$9+Projections!A60)))</f>
        <v/>
      </c>
      <c r="R60" s="781" t="str">
        <f ca="1">IF($P60&gt;'Additional Input'!$E$11+1,"",+R59+1)</f>
        <v/>
      </c>
      <c r="S60" s="782" t="str">
        <f ca="1">IF($P60&gt;'Additional Input'!$E$11+1,"",S59*(1+'Additional Input'!$D$13))</f>
        <v/>
      </c>
      <c r="T60" s="782" t="str">
        <f ca="1">IF($P60&gt;'Additional Input'!$E$11+1,"",ROUNDDOWN(S60,-3))</f>
        <v/>
      </c>
      <c r="U60" s="569" t="str">
        <f ca="1">IF($P60&gt;'Additional Input'!$E$11+1,"",IF(Calculator!$D$19=TRUE,Calculator!$D$18*IF(Calculator!$F$18=TRUE,2,1)*TaxTables!$T60,IF(P60&lt;Calculator!$H$19,Calculator!$F$19,0)))</f>
        <v/>
      </c>
      <c r="V60" s="783" t="str">
        <f ca="1">IF($P60&gt;'Additional Input'!$E$11+1,"",IF(P60&lt;Calculator!$H$20,IF(Calculator!$D$20=TRUE,-Calculator!$F$20,0),0)-IF(P60&lt;Calculator!$K$8,Calculator!$J$8,0))</f>
        <v/>
      </c>
      <c r="W60" s="783" t="str">
        <f ca="1">IF($P60&gt;'Additional Input'!$E$11+1,"",U60+V60)</f>
        <v/>
      </c>
      <c r="X60" s="787" t="str">
        <f ca="1">IF($P60&gt;'Additional Input'!$E$11+1,"",(X59*(1+$X$4))+W60)</f>
        <v/>
      </c>
      <c r="Z60" s="788" t="str">
        <f ca="1">IF($P60&gt;'Additional Input'!$E$11+1,"",(Z59*(1+$Z$4))+U60+AA60)</f>
        <v/>
      </c>
      <c r="AA60" s="864" t="str">
        <f ca="1">IF($P60&gt;'Additional Input'!$E$11+1,"",-IF(P60&lt;Calculator!$K$8,Calculator!$J$8,0))</f>
        <v/>
      </c>
      <c r="AC60" s="356">
        <f>IF('Additional Input'!N68=2011,5120000,ROUNDDOWN($AC$4*(1+$AC$3)^Projections!A61,-4))</f>
        <v>15910000</v>
      </c>
      <c r="AD60" s="786">
        <f>Calculator!$D$30</f>
        <v>0.4</v>
      </c>
      <c r="AE60" s="809"/>
      <c r="AF60" s="810"/>
    </row>
    <row r="61" spans="1:32">
      <c r="A61" s="799">
        <f t="shared" si="4"/>
        <v>31</v>
      </c>
      <c r="B61" s="801">
        <f t="shared" si="5"/>
        <v>0</v>
      </c>
      <c r="C61" s="801">
        <f t="shared" si="3"/>
        <v>0</v>
      </c>
      <c r="D61" s="802">
        <f>SUM(C390:C401)</f>
        <v>0</v>
      </c>
      <c r="O61" s="271"/>
      <c r="P61" s="780">
        <f t="shared" si="7"/>
        <v>56</v>
      </c>
      <c r="Q61" s="564" t="str">
        <f ca="1">IF(P61&gt;'Additional Input'!$E$11+1,"",IF('Additional Input'!$N$9="","",'Additional Input'!$N$9+Projections!A61)&amp;"/"&amp;IF('Additional Input'!$O$9="","",IF('Additional Input'!$O$9=0,"",'Additional Input'!$O$9+Projections!A61)))</f>
        <v/>
      </c>
      <c r="R61" s="781" t="str">
        <f ca="1">IF($P61&gt;'Additional Input'!$E$11+1,"",+R60+1)</f>
        <v/>
      </c>
      <c r="S61" s="782" t="str">
        <f ca="1">IF($P61&gt;'Additional Input'!$E$11+1,"",S60*(1+'Additional Input'!$D$13))</f>
        <v/>
      </c>
      <c r="T61" s="782" t="str">
        <f ca="1">IF($P61&gt;'Additional Input'!$E$11+1,"",ROUNDDOWN(S61,-3))</f>
        <v/>
      </c>
      <c r="U61" s="569" t="str">
        <f ca="1">IF($P61&gt;'Additional Input'!$E$11+1,"",IF(Calculator!$D$19=TRUE,Calculator!$D$18*IF(Calculator!$F$18=TRUE,2,1)*TaxTables!$T61,IF(P61&lt;Calculator!$H$19,Calculator!$F$19,0)))</f>
        <v/>
      </c>
      <c r="V61" s="783" t="str">
        <f ca="1">IF($P61&gt;'Additional Input'!$E$11+1,"",IF(P61&lt;Calculator!$H$20,IF(Calculator!$D$20=TRUE,-Calculator!$F$20,0),0)-IF(P61&lt;Calculator!$K$8,Calculator!$J$8,0))</f>
        <v/>
      </c>
      <c r="W61" s="783" t="str">
        <f ca="1">IF($P61&gt;'Additional Input'!$E$11+1,"",U61+V61)</f>
        <v/>
      </c>
      <c r="X61" s="787" t="str">
        <f ca="1">IF($P61&gt;'Additional Input'!$E$11+1,"",(X60*(1+$X$4))+W61)</f>
        <v/>
      </c>
      <c r="Z61" s="788" t="str">
        <f ca="1">IF($P61&gt;'Additional Input'!$E$11+1,"",(Z60*(1+$Z$4))+U61+AA61)</f>
        <v/>
      </c>
      <c r="AA61" s="864" t="str">
        <f ca="1">IF($P61&gt;'Additional Input'!$E$11+1,"",-IF(P61&lt;Calculator!$K$8,Calculator!$J$8,0))</f>
        <v/>
      </c>
      <c r="AC61" s="356">
        <f>IF('Additional Input'!N69=2011,5120000,ROUNDDOWN($AC$4*(1+$AC$3)^Projections!A62,-4))</f>
        <v>16230000</v>
      </c>
      <c r="AD61" s="786">
        <f>Calculator!$D$30</f>
        <v>0.4</v>
      </c>
      <c r="AE61" s="809"/>
      <c r="AF61" s="810"/>
    </row>
    <row r="62" spans="1:32">
      <c r="A62" s="799">
        <f t="shared" si="4"/>
        <v>32</v>
      </c>
      <c r="B62" s="801">
        <f t="shared" si="5"/>
        <v>0</v>
      </c>
      <c r="C62" s="801">
        <f t="shared" si="3"/>
        <v>0</v>
      </c>
      <c r="D62" s="802">
        <f>SUM(C402:C413)</f>
        <v>0</v>
      </c>
      <c r="O62" s="271"/>
      <c r="P62" s="780">
        <f t="shared" si="7"/>
        <v>57</v>
      </c>
      <c r="Q62" s="564" t="str">
        <f ca="1">IF(P62&gt;'Additional Input'!$E$11+1,"",IF('Additional Input'!$N$9="","",'Additional Input'!$N$9+Projections!A62)&amp;"/"&amp;IF('Additional Input'!$O$9="","",IF('Additional Input'!$O$9=0,"",'Additional Input'!$O$9+Projections!A62)))</f>
        <v/>
      </c>
      <c r="R62" s="781" t="str">
        <f ca="1">IF($P62&gt;'Additional Input'!$E$11+1,"",+R61+1)</f>
        <v/>
      </c>
      <c r="S62" s="782" t="str">
        <f ca="1">IF($P62&gt;'Additional Input'!$E$11+1,"",S61*(1+'Additional Input'!$D$13))</f>
        <v/>
      </c>
      <c r="T62" s="782" t="str">
        <f ca="1">IF($P62&gt;'Additional Input'!$E$11+1,"",ROUNDDOWN(S62,-3))</f>
        <v/>
      </c>
      <c r="U62" s="569" t="str">
        <f ca="1">IF($P62&gt;'Additional Input'!$E$11+1,"",IF(Calculator!$D$19=TRUE,Calculator!$D$18*IF(Calculator!$F$18=TRUE,2,1)*TaxTables!$T62,IF(P62&lt;Calculator!$H$19,Calculator!$F$19,0)))</f>
        <v/>
      </c>
      <c r="V62" s="783" t="str">
        <f ca="1">IF($P62&gt;'Additional Input'!$E$11+1,"",IF(P62&lt;Calculator!$H$20,IF(Calculator!$D$20=TRUE,-Calculator!$F$20,0),0)-IF(P62&lt;Calculator!$K$8,Calculator!$J$8,0))</f>
        <v/>
      </c>
      <c r="W62" s="783" t="str">
        <f ca="1">IF($P62&gt;'Additional Input'!$E$11+1,"",U62+V62)</f>
        <v/>
      </c>
      <c r="X62" s="787" t="str">
        <f ca="1">IF($P62&gt;'Additional Input'!$E$11+1,"",(X61*(1+$X$4))+W62)</f>
        <v/>
      </c>
      <c r="Z62" s="788" t="str">
        <f ca="1">IF($P62&gt;'Additional Input'!$E$11+1,"",(Z61*(1+$Z$4))+U62+AA62)</f>
        <v/>
      </c>
      <c r="AA62" s="864" t="str">
        <f ca="1">IF($P62&gt;'Additional Input'!$E$11+1,"",-IF(P62&lt;Calculator!$K$8,Calculator!$J$8,0))</f>
        <v/>
      </c>
      <c r="AC62" s="356">
        <f>IF('Additional Input'!N70=2011,5120000,ROUNDDOWN($AC$4*(1+$AC$3)^Projections!A63,-4))</f>
        <v>16550000</v>
      </c>
      <c r="AD62" s="786">
        <f>Calculator!$D$30</f>
        <v>0.4</v>
      </c>
      <c r="AE62" s="809"/>
      <c r="AF62" s="810"/>
    </row>
    <row r="63" spans="1:32">
      <c r="A63" s="799">
        <f t="shared" ref="A63:A95" si="8">A62+1</f>
        <v>33</v>
      </c>
      <c r="B63" s="801">
        <f t="shared" si="5"/>
        <v>0</v>
      </c>
      <c r="C63" s="801">
        <f t="shared" si="3"/>
        <v>0</v>
      </c>
      <c r="D63" s="802">
        <f>SUM(C414:C425)</f>
        <v>0</v>
      </c>
      <c r="O63" s="271"/>
      <c r="P63" s="780">
        <f t="shared" si="7"/>
        <v>58</v>
      </c>
      <c r="Q63" s="564" t="str">
        <f ca="1">IF(P63&gt;'Additional Input'!$E$11+1,"",IF('Additional Input'!$N$9="","",'Additional Input'!$N$9+Projections!A63)&amp;"/"&amp;IF('Additional Input'!$O$9="","",IF('Additional Input'!$O$9=0,"",'Additional Input'!$O$9+Projections!A63)))</f>
        <v/>
      </c>
      <c r="R63" s="781" t="str">
        <f ca="1">IF($P63&gt;'Additional Input'!$E$11+1,"",+R62+1)</f>
        <v/>
      </c>
      <c r="S63" s="782" t="str">
        <f ca="1">IF($P63&gt;'Additional Input'!$E$11+1,"",S62*(1+'Additional Input'!$D$13))</f>
        <v/>
      </c>
      <c r="T63" s="782" t="str">
        <f ca="1">IF($P63&gt;'Additional Input'!$E$11+1,"",ROUNDDOWN(S63,-3))</f>
        <v/>
      </c>
      <c r="U63" s="569" t="str">
        <f ca="1">IF($P63&gt;'Additional Input'!$E$11+1,"",IF(Calculator!$D$19=TRUE,Calculator!$D$18*IF(Calculator!$F$18=TRUE,2,1)*TaxTables!$T63,IF(P63&lt;Calculator!$H$19,Calculator!$F$19,0)))</f>
        <v/>
      </c>
      <c r="V63" s="783" t="str">
        <f ca="1">IF($P63&gt;'Additional Input'!$E$11+1,"",IF(P63&lt;Calculator!$H$20,IF(Calculator!$D$20=TRUE,-Calculator!$F$20,0),0)-IF(P63&lt;Calculator!$K$8,Calculator!$J$8,0))</f>
        <v/>
      </c>
      <c r="W63" s="783" t="str">
        <f ca="1">IF($P63&gt;'Additional Input'!$E$11+1,"",U63+V63)</f>
        <v/>
      </c>
      <c r="X63" s="787" t="str">
        <f ca="1">IF($P63&gt;'Additional Input'!$E$11+1,"",(X62*(1+$X$4))+W63)</f>
        <v/>
      </c>
      <c r="Z63" s="788" t="str">
        <f ca="1">IF($P63&gt;'Additional Input'!$E$11+1,"",(Z62*(1+$Z$4))+U63+AA63)</f>
        <v/>
      </c>
      <c r="AA63" s="864" t="str">
        <f ca="1">IF($P63&gt;'Additional Input'!$E$11+1,"",-IF(P63&lt;Calculator!$K$8,Calculator!$J$8,0))</f>
        <v/>
      </c>
      <c r="AC63" s="356">
        <f>IF('Additional Input'!N71=2011,5120000,ROUNDDOWN($AC$4*(1+$AC$3)^Projections!A64,-4))</f>
        <v>16880000</v>
      </c>
      <c r="AD63" s="786">
        <f>Calculator!$D$30</f>
        <v>0.4</v>
      </c>
      <c r="AE63" s="809"/>
      <c r="AF63" s="810"/>
    </row>
    <row r="64" spans="1:32">
      <c r="A64" s="799">
        <f t="shared" si="8"/>
        <v>34</v>
      </c>
      <c r="B64" s="801">
        <f t="shared" si="5"/>
        <v>0</v>
      </c>
      <c r="C64" s="801">
        <f t="shared" si="3"/>
        <v>0</v>
      </c>
      <c r="D64" s="802">
        <f>SUM(C426:C437)</f>
        <v>0</v>
      </c>
      <c r="O64" s="271"/>
      <c r="P64" s="780">
        <f t="shared" si="7"/>
        <v>59</v>
      </c>
      <c r="Q64" s="564" t="str">
        <f ca="1">IF(P64&gt;'Additional Input'!$E$11+1,"",IF('Additional Input'!$N$9="","",'Additional Input'!$N$9+Projections!A64)&amp;"/"&amp;IF('Additional Input'!$O$9="","",IF('Additional Input'!$O$9=0,"",'Additional Input'!$O$9+Projections!A64)))</f>
        <v/>
      </c>
      <c r="R64" s="781" t="str">
        <f ca="1">IF($P64&gt;'Additional Input'!$E$11+1,"",+R63+1)</f>
        <v/>
      </c>
      <c r="S64" s="782" t="str">
        <f ca="1">IF($P64&gt;'Additional Input'!$E$11+1,"",S63*(1+'Additional Input'!$D$13))</f>
        <v/>
      </c>
      <c r="T64" s="782" t="str">
        <f ca="1">IF($P64&gt;'Additional Input'!$E$11+1,"",ROUNDDOWN(S64,-3))</f>
        <v/>
      </c>
      <c r="U64" s="569" t="str">
        <f ca="1">IF($P64&gt;'Additional Input'!$E$11+1,"",IF(Calculator!$D$19=TRUE,Calculator!$D$18*IF(Calculator!$F$18=TRUE,2,1)*TaxTables!$T64,IF(P64&lt;Calculator!$H$19,Calculator!$F$19,0)))</f>
        <v/>
      </c>
      <c r="V64" s="783" t="str">
        <f ca="1">IF($P64&gt;'Additional Input'!$E$11+1,"",IF(P64&lt;Calculator!$H$20,IF(Calculator!$D$20=TRUE,-Calculator!$F$20,0),0)-IF(P64&lt;Calculator!$K$8,Calculator!$J$8,0))</f>
        <v/>
      </c>
      <c r="W64" s="783" t="str">
        <f ca="1">IF($P64&gt;'Additional Input'!$E$11+1,"",U64+V64)</f>
        <v/>
      </c>
      <c r="X64" s="787" t="str">
        <f ca="1">IF($P64&gt;'Additional Input'!$E$11+1,"",(X63*(1+$X$4))+W64)</f>
        <v/>
      </c>
      <c r="Z64" s="788" t="str">
        <f ca="1">IF($P64&gt;'Additional Input'!$E$11+1,"",(Z63*(1+$Z$4))+U64+AA64)</f>
        <v/>
      </c>
      <c r="AA64" s="864" t="str">
        <f ca="1">IF($P64&gt;'Additional Input'!$E$11+1,"",-IF(P64&lt;Calculator!$K$8,Calculator!$J$8,0))</f>
        <v/>
      </c>
      <c r="AC64" s="812">
        <f>IF('Additional Input'!N72=2011,5120000,ROUNDDOWN($AC$4*(1+$AC$3)^Projections!A65,-4))</f>
        <v>17220000</v>
      </c>
      <c r="AD64" s="813">
        <f>Calculator!$D$30</f>
        <v>0.4</v>
      </c>
      <c r="AE64" s="809"/>
      <c r="AF64" s="810"/>
    </row>
    <row r="65" spans="1:27">
      <c r="A65" s="799">
        <f t="shared" si="8"/>
        <v>35</v>
      </c>
      <c r="B65" s="801">
        <f t="shared" si="5"/>
        <v>0</v>
      </c>
      <c r="C65" s="801">
        <f t="shared" si="3"/>
        <v>0</v>
      </c>
      <c r="D65" s="802">
        <f>SUM(C438:C449)</f>
        <v>0</v>
      </c>
      <c r="O65" s="271"/>
      <c r="P65" s="814">
        <f t="shared" si="7"/>
        <v>60</v>
      </c>
      <c r="Q65" s="570" t="str">
        <f ca="1">IF(P65&gt;'Additional Input'!$E$11+1,"",IF('Additional Input'!$N$9="","",'Additional Input'!$N$9+Projections!A65)&amp;"/"&amp;IF('Additional Input'!$O$9="","",IF('Additional Input'!$O$9=0,"",'Additional Input'!$O$9+Projections!A65)))</f>
        <v/>
      </c>
      <c r="R65" s="815" t="str">
        <f ca="1">IF($P65&gt;'Additional Input'!$E$11+1,"",+R64+1)</f>
        <v/>
      </c>
      <c r="S65" s="816" t="str">
        <f ca="1">IF($P65&gt;'Additional Input'!$E$11+1,"",S64*(1+'Additional Input'!$D$13))</f>
        <v/>
      </c>
      <c r="T65" s="816" t="str">
        <f ca="1">IF($P65&gt;'Additional Input'!$E$11+1,"",ROUNDDOWN(S65,-3))</f>
        <v/>
      </c>
      <c r="U65" s="579" t="str">
        <f ca="1">IF($P65&gt;'Additional Input'!$E$11+1,"",IF(Calculator!$D$19=TRUE,Calculator!$D$18*IF(Calculator!$F$18=TRUE,2,1)*TaxTables!$T65,IF(P65&lt;Calculator!$H$19,Calculator!$F$19,0)))</f>
        <v/>
      </c>
      <c r="V65" s="817" t="str">
        <f ca="1">IF($P65&gt;'Additional Input'!$E$11+1,"",IF(P65&lt;Calculator!$H$20,IF(Calculator!$D$20=TRUE,-Calculator!$F$20,0),0)-IF(P65&lt;Calculator!$K$8,Calculator!$J$8,0))</f>
        <v/>
      </c>
      <c r="W65" s="817" t="str">
        <f ca="1">IF($P65&gt;'Additional Input'!$E$11+1,"",U65+V65)</f>
        <v/>
      </c>
      <c r="X65" s="818" t="str">
        <f ca="1">IF($P65&gt;'Additional Input'!$E$11+1,"",(X64*(1+$X$4))+W65)</f>
        <v/>
      </c>
      <c r="Z65" s="819" t="str">
        <f ca="1">IF($P65&gt;'Additional Input'!$E$11+1,"",(Z64*(1+$Z$4))+U65+AA65)</f>
        <v/>
      </c>
      <c r="AA65" s="865" t="str">
        <f ca="1">IF($P65&gt;'Additional Input'!$E$11+1,"",-IF(P65&lt;Calculator!$K$8,Calculator!$J$8,0))</f>
        <v/>
      </c>
    </row>
    <row r="66" spans="1:27">
      <c r="A66" s="804">
        <f t="shared" si="8"/>
        <v>36</v>
      </c>
      <c r="B66" s="801">
        <f t="shared" si="5"/>
        <v>0</v>
      </c>
      <c r="C66" s="801">
        <f t="shared" si="3"/>
        <v>0</v>
      </c>
      <c r="D66" s="802">
        <f>SUM(C450:C461)</f>
        <v>0</v>
      </c>
      <c r="O66" s="271"/>
    </row>
    <row r="67" spans="1:27">
      <c r="A67" s="799">
        <f t="shared" si="8"/>
        <v>37</v>
      </c>
      <c r="B67" s="801">
        <f t="shared" si="5"/>
        <v>0</v>
      </c>
      <c r="C67" s="801">
        <f t="shared" si="3"/>
        <v>0</v>
      </c>
      <c r="D67" s="802">
        <f>SUM(C462:C473)</f>
        <v>0</v>
      </c>
      <c r="O67" s="271"/>
    </row>
    <row r="68" spans="1:27">
      <c r="A68" s="799">
        <f t="shared" si="8"/>
        <v>38</v>
      </c>
      <c r="B68" s="801">
        <f t="shared" si="5"/>
        <v>0</v>
      </c>
      <c r="C68" s="801">
        <f t="shared" si="3"/>
        <v>0</v>
      </c>
      <c r="D68" s="802">
        <f>SUM(C474:C485)</f>
        <v>0</v>
      </c>
      <c r="O68" s="271"/>
    </row>
    <row r="69" spans="1:27">
      <c r="A69" s="799">
        <f t="shared" si="8"/>
        <v>39</v>
      </c>
      <c r="B69" s="801">
        <f t="shared" si="5"/>
        <v>0</v>
      </c>
      <c r="C69" s="801">
        <f t="shared" si="3"/>
        <v>0</v>
      </c>
      <c r="D69" s="802">
        <f>SUM(C486:C497)</f>
        <v>0</v>
      </c>
      <c r="O69" s="271"/>
    </row>
    <row r="70" spans="1:27">
      <c r="A70" s="799">
        <f t="shared" si="8"/>
        <v>40</v>
      </c>
      <c r="B70" s="801">
        <f t="shared" si="5"/>
        <v>0</v>
      </c>
      <c r="C70" s="801">
        <f t="shared" si="3"/>
        <v>0</v>
      </c>
      <c r="D70" s="802">
        <f>SUM(C498:C509)</f>
        <v>0</v>
      </c>
      <c r="O70" s="271"/>
    </row>
    <row r="71" spans="1:27">
      <c r="A71" s="799">
        <f t="shared" si="8"/>
        <v>41</v>
      </c>
      <c r="B71" s="801">
        <f t="shared" si="5"/>
        <v>0</v>
      </c>
      <c r="C71" s="801">
        <f t="shared" si="3"/>
        <v>0</v>
      </c>
      <c r="D71" s="802">
        <f>SUM(C510:C521)</f>
        <v>0</v>
      </c>
      <c r="O71" s="271"/>
    </row>
    <row r="72" spans="1:27">
      <c r="A72" s="799">
        <f t="shared" si="8"/>
        <v>42</v>
      </c>
      <c r="B72" s="801">
        <f t="shared" si="5"/>
        <v>0</v>
      </c>
      <c r="C72" s="801">
        <f t="shared" si="3"/>
        <v>0</v>
      </c>
      <c r="D72" s="802">
        <f>SUM(C522:C533)</f>
        <v>0</v>
      </c>
      <c r="O72" s="271"/>
    </row>
    <row r="73" spans="1:27">
      <c r="A73" s="799">
        <f t="shared" si="8"/>
        <v>43</v>
      </c>
      <c r="B73" s="801">
        <f t="shared" si="5"/>
        <v>0</v>
      </c>
      <c r="C73" s="801">
        <f t="shared" si="3"/>
        <v>0</v>
      </c>
      <c r="D73" s="802">
        <f>SUM(C534:C545)</f>
        <v>0</v>
      </c>
      <c r="O73" s="271"/>
    </row>
    <row r="74" spans="1:27">
      <c r="A74" s="799">
        <f t="shared" si="8"/>
        <v>44</v>
      </c>
      <c r="B74" s="801">
        <f t="shared" si="5"/>
        <v>0</v>
      </c>
      <c r="C74" s="801">
        <f t="shared" si="3"/>
        <v>0</v>
      </c>
      <c r="D74" s="802">
        <f>SUM(C546:C557)</f>
        <v>0</v>
      </c>
      <c r="O74" s="271"/>
    </row>
    <row r="75" spans="1:27">
      <c r="A75" s="799">
        <f t="shared" si="8"/>
        <v>45</v>
      </c>
      <c r="B75" s="801">
        <f t="shared" si="5"/>
        <v>0</v>
      </c>
      <c r="C75" s="801">
        <f t="shared" si="3"/>
        <v>0</v>
      </c>
      <c r="D75" s="802">
        <f>SUM(C558:C569)</f>
        <v>0</v>
      </c>
      <c r="O75" s="271"/>
    </row>
    <row r="76" spans="1:27">
      <c r="A76" s="799">
        <f t="shared" si="8"/>
        <v>46</v>
      </c>
      <c r="B76" s="801">
        <f t="shared" si="5"/>
        <v>0</v>
      </c>
      <c r="C76" s="801">
        <f t="shared" si="3"/>
        <v>0</v>
      </c>
      <c r="D76" s="802">
        <f>SUM(C570:C581)</f>
        <v>0</v>
      </c>
      <c r="O76" s="271"/>
    </row>
    <row r="77" spans="1:27">
      <c r="A77" s="799">
        <f t="shared" si="8"/>
        <v>47</v>
      </c>
      <c r="B77" s="801">
        <f t="shared" si="5"/>
        <v>0</v>
      </c>
      <c r="C77" s="801">
        <f t="shared" si="3"/>
        <v>0</v>
      </c>
      <c r="D77" s="802">
        <f>SUM(C582:C593)</f>
        <v>0</v>
      </c>
      <c r="O77" s="271"/>
    </row>
    <row r="78" spans="1:27">
      <c r="A78" s="804">
        <f t="shared" si="8"/>
        <v>48</v>
      </c>
      <c r="B78" s="801">
        <f t="shared" si="5"/>
        <v>0</v>
      </c>
      <c r="C78" s="801">
        <f t="shared" si="3"/>
        <v>0</v>
      </c>
      <c r="D78" s="802">
        <f>SUM(C594:C605)</f>
        <v>0</v>
      </c>
      <c r="O78" s="271"/>
    </row>
    <row r="79" spans="1:27">
      <c r="A79" s="799">
        <f t="shared" si="8"/>
        <v>49</v>
      </c>
      <c r="B79" s="801">
        <f t="shared" si="5"/>
        <v>0</v>
      </c>
      <c r="C79" s="801">
        <f t="shared" si="3"/>
        <v>0</v>
      </c>
      <c r="D79" s="802">
        <f>SUM(C606:C617)</f>
        <v>0</v>
      </c>
      <c r="O79" s="271"/>
    </row>
    <row r="80" spans="1:27">
      <c r="A80" s="799">
        <f t="shared" si="8"/>
        <v>50</v>
      </c>
      <c r="B80" s="801">
        <f t="shared" si="5"/>
        <v>0</v>
      </c>
      <c r="C80" s="801">
        <f t="shared" si="3"/>
        <v>0</v>
      </c>
      <c r="D80" s="802">
        <f>SUM(C618:C629)</f>
        <v>0</v>
      </c>
      <c r="O80" s="271"/>
    </row>
    <row r="81" spans="1:15">
      <c r="A81" s="799">
        <f t="shared" si="8"/>
        <v>51</v>
      </c>
      <c r="B81" s="801">
        <f t="shared" si="5"/>
        <v>0</v>
      </c>
      <c r="C81" s="801">
        <f t="shared" si="3"/>
        <v>0</v>
      </c>
      <c r="D81" s="820"/>
      <c r="O81" s="271"/>
    </row>
    <row r="82" spans="1:15">
      <c r="A82" s="799">
        <f t="shared" si="8"/>
        <v>52</v>
      </c>
      <c r="B82" s="801">
        <f t="shared" si="5"/>
        <v>0</v>
      </c>
      <c r="C82" s="801">
        <f t="shared" si="3"/>
        <v>0</v>
      </c>
      <c r="D82" s="820"/>
      <c r="O82" s="271"/>
    </row>
    <row r="83" spans="1:15">
      <c r="A83" s="799">
        <f t="shared" si="8"/>
        <v>53</v>
      </c>
      <c r="B83" s="801">
        <f t="shared" si="5"/>
        <v>0</v>
      </c>
      <c r="C83" s="801">
        <f t="shared" si="3"/>
        <v>0</v>
      </c>
      <c r="D83" s="820"/>
      <c r="O83" s="271"/>
    </row>
    <row r="84" spans="1:15">
      <c r="A84" s="799">
        <f t="shared" si="8"/>
        <v>54</v>
      </c>
      <c r="B84" s="801">
        <f t="shared" si="5"/>
        <v>0</v>
      </c>
      <c r="C84" s="801">
        <f t="shared" si="3"/>
        <v>0</v>
      </c>
      <c r="D84" s="820"/>
      <c r="O84" s="271"/>
    </row>
    <row r="85" spans="1:15">
      <c r="A85" s="799">
        <f t="shared" si="8"/>
        <v>55</v>
      </c>
      <c r="B85" s="801">
        <f t="shared" si="5"/>
        <v>0</v>
      </c>
      <c r="C85" s="801">
        <f t="shared" si="3"/>
        <v>0</v>
      </c>
      <c r="D85" s="820"/>
      <c r="O85" s="271"/>
    </row>
    <row r="86" spans="1:15">
      <c r="A86" s="799">
        <f t="shared" si="8"/>
        <v>56</v>
      </c>
      <c r="B86" s="801">
        <f t="shared" si="5"/>
        <v>0</v>
      </c>
      <c r="C86" s="801">
        <f t="shared" si="3"/>
        <v>0</v>
      </c>
      <c r="D86" s="820"/>
      <c r="O86" s="271"/>
    </row>
    <row r="87" spans="1:15">
      <c r="A87" s="799">
        <f t="shared" si="8"/>
        <v>57</v>
      </c>
      <c r="B87" s="801">
        <f t="shared" si="5"/>
        <v>0</v>
      </c>
      <c r="C87" s="801">
        <f t="shared" si="3"/>
        <v>0</v>
      </c>
      <c r="D87" s="820"/>
      <c r="O87" s="271"/>
    </row>
    <row r="88" spans="1:15">
      <c r="A88" s="799">
        <f t="shared" si="8"/>
        <v>58</v>
      </c>
      <c r="B88" s="801">
        <f t="shared" si="5"/>
        <v>0</v>
      </c>
      <c r="C88" s="801">
        <f t="shared" si="3"/>
        <v>0</v>
      </c>
      <c r="D88" s="820"/>
      <c r="O88" s="271"/>
    </row>
    <row r="89" spans="1:15">
      <c r="A89" s="799">
        <f t="shared" si="8"/>
        <v>59</v>
      </c>
      <c r="B89" s="801">
        <f t="shared" si="5"/>
        <v>0</v>
      </c>
      <c r="C89" s="801">
        <f t="shared" si="3"/>
        <v>0</v>
      </c>
      <c r="D89" s="820"/>
      <c r="O89" s="271"/>
    </row>
    <row r="90" spans="1:15">
      <c r="A90" s="804">
        <f t="shared" si="8"/>
        <v>60</v>
      </c>
      <c r="B90" s="801">
        <f t="shared" si="5"/>
        <v>0</v>
      </c>
      <c r="C90" s="801">
        <f t="shared" si="3"/>
        <v>0</v>
      </c>
      <c r="D90" s="820"/>
      <c r="O90" s="271"/>
    </row>
    <row r="91" spans="1:15">
      <c r="A91" s="799">
        <f t="shared" si="8"/>
        <v>61</v>
      </c>
      <c r="B91" s="801">
        <f t="shared" si="5"/>
        <v>0</v>
      </c>
      <c r="C91" s="801">
        <f t="shared" si="3"/>
        <v>0</v>
      </c>
      <c r="D91" s="820"/>
    </row>
    <row r="92" spans="1:15">
      <c r="A92" s="799">
        <f t="shared" si="8"/>
        <v>62</v>
      </c>
      <c r="B92" s="801">
        <f t="shared" si="5"/>
        <v>0</v>
      </c>
      <c r="C92" s="801">
        <f t="shared" si="3"/>
        <v>0</v>
      </c>
      <c r="D92" s="820"/>
    </row>
    <row r="93" spans="1:15">
      <c r="A93" s="799">
        <f t="shared" si="8"/>
        <v>63</v>
      </c>
      <c r="B93" s="801">
        <f t="shared" si="5"/>
        <v>0</v>
      </c>
      <c r="C93" s="801">
        <f t="shared" si="3"/>
        <v>0</v>
      </c>
      <c r="D93" s="820"/>
    </row>
    <row r="94" spans="1:15">
      <c r="A94" s="799">
        <f t="shared" si="8"/>
        <v>64</v>
      </c>
      <c r="B94" s="801">
        <f t="shared" si="5"/>
        <v>0</v>
      </c>
      <c r="C94" s="801">
        <f t="shared" ref="C94:C157" si="9">IF(B94&gt;$B$29,$B$29,B94)</f>
        <v>0</v>
      </c>
      <c r="D94" s="820"/>
    </row>
    <row r="95" spans="1:15">
      <c r="A95" s="799">
        <f t="shared" si="8"/>
        <v>65</v>
      </c>
      <c r="B95" s="801">
        <f t="shared" ref="B95:B158" si="10">IF((B94*(1+($B$27)/12))-$B$29&lt;0,0,(B94*(1+($B$27)/12))-$B$29)</f>
        <v>0</v>
      </c>
      <c r="C95" s="801">
        <f t="shared" si="9"/>
        <v>0</v>
      </c>
      <c r="D95" s="820"/>
    </row>
    <row r="96" spans="1:15">
      <c r="A96" s="799">
        <f t="shared" ref="A96:A159" si="11">A95+1</f>
        <v>66</v>
      </c>
      <c r="B96" s="801">
        <f t="shared" si="10"/>
        <v>0</v>
      </c>
      <c r="C96" s="801">
        <f t="shared" si="9"/>
        <v>0</v>
      </c>
      <c r="D96" s="820"/>
    </row>
    <row r="97" spans="1:4">
      <c r="A97" s="799">
        <f t="shared" si="11"/>
        <v>67</v>
      </c>
      <c r="B97" s="801">
        <f t="shared" si="10"/>
        <v>0</v>
      </c>
      <c r="C97" s="801">
        <f t="shared" si="9"/>
        <v>0</v>
      </c>
      <c r="D97" s="820"/>
    </row>
    <row r="98" spans="1:4">
      <c r="A98" s="799">
        <f t="shared" si="11"/>
        <v>68</v>
      </c>
      <c r="B98" s="801">
        <f t="shared" si="10"/>
        <v>0</v>
      </c>
      <c r="C98" s="801">
        <f t="shared" si="9"/>
        <v>0</v>
      </c>
      <c r="D98" s="820"/>
    </row>
    <row r="99" spans="1:4">
      <c r="A99" s="799">
        <f t="shared" si="11"/>
        <v>69</v>
      </c>
      <c r="B99" s="801">
        <f t="shared" si="10"/>
        <v>0</v>
      </c>
      <c r="C99" s="801">
        <f t="shared" si="9"/>
        <v>0</v>
      </c>
      <c r="D99" s="820"/>
    </row>
    <row r="100" spans="1:4">
      <c r="A100" s="799">
        <f t="shared" si="11"/>
        <v>70</v>
      </c>
      <c r="B100" s="801">
        <f t="shared" si="10"/>
        <v>0</v>
      </c>
      <c r="C100" s="801">
        <f t="shared" si="9"/>
        <v>0</v>
      </c>
      <c r="D100" s="820"/>
    </row>
    <row r="101" spans="1:4">
      <c r="A101" s="799">
        <f t="shared" si="11"/>
        <v>71</v>
      </c>
      <c r="B101" s="801">
        <f t="shared" si="10"/>
        <v>0</v>
      </c>
      <c r="C101" s="801">
        <f t="shared" si="9"/>
        <v>0</v>
      </c>
      <c r="D101" s="820"/>
    </row>
    <row r="102" spans="1:4">
      <c r="A102" s="804">
        <f t="shared" si="11"/>
        <v>72</v>
      </c>
      <c r="B102" s="801">
        <f t="shared" si="10"/>
        <v>0</v>
      </c>
      <c r="C102" s="801">
        <f t="shared" si="9"/>
        <v>0</v>
      </c>
      <c r="D102" s="820"/>
    </row>
    <row r="103" spans="1:4">
      <c r="A103" s="799">
        <f t="shared" si="11"/>
        <v>73</v>
      </c>
      <c r="B103" s="801">
        <f t="shared" si="10"/>
        <v>0</v>
      </c>
      <c r="C103" s="801">
        <f t="shared" si="9"/>
        <v>0</v>
      </c>
      <c r="D103" s="820"/>
    </row>
    <row r="104" spans="1:4">
      <c r="A104" s="799">
        <f t="shared" si="11"/>
        <v>74</v>
      </c>
      <c r="B104" s="801">
        <f t="shared" si="10"/>
        <v>0</v>
      </c>
      <c r="C104" s="801">
        <f t="shared" si="9"/>
        <v>0</v>
      </c>
      <c r="D104" s="820"/>
    </row>
    <row r="105" spans="1:4">
      <c r="A105" s="799">
        <f t="shared" si="11"/>
        <v>75</v>
      </c>
      <c r="B105" s="801">
        <f t="shared" si="10"/>
        <v>0</v>
      </c>
      <c r="C105" s="801">
        <f t="shared" si="9"/>
        <v>0</v>
      </c>
      <c r="D105" s="820"/>
    </row>
    <row r="106" spans="1:4">
      <c r="A106" s="799">
        <f t="shared" si="11"/>
        <v>76</v>
      </c>
      <c r="B106" s="801">
        <f t="shared" si="10"/>
        <v>0</v>
      </c>
      <c r="C106" s="801">
        <f t="shared" si="9"/>
        <v>0</v>
      </c>
      <c r="D106" s="820"/>
    </row>
    <row r="107" spans="1:4">
      <c r="A107" s="799">
        <f t="shared" si="11"/>
        <v>77</v>
      </c>
      <c r="B107" s="801">
        <f t="shared" si="10"/>
        <v>0</v>
      </c>
      <c r="C107" s="801">
        <f t="shared" si="9"/>
        <v>0</v>
      </c>
      <c r="D107" s="820"/>
    </row>
    <row r="108" spans="1:4">
      <c r="A108" s="799">
        <f t="shared" si="11"/>
        <v>78</v>
      </c>
      <c r="B108" s="801">
        <f t="shared" si="10"/>
        <v>0</v>
      </c>
      <c r="C108" s="801">
        <f t="shared" si="9"/>
        <v>0</v>
      </c>
      <c r="D108" s="820"/>
    </row>
    <row r="109" spans="1:4">
      <c r="A109" s="799">
        <f t="shared" si="11"/>
        <v>79</v>
      </c>
      <c r="B109" s="801">
        <f t="shared" si="10"/>
        <v>0</v>
      </c>
      <c r="C109" s="801">
        <f t="shared" si="9"/>
        <v>0</v>
      </c>
      <c r="D109" s="820"/>
    </row>
    <row r="110" spans="1:4">
      <c r="A110" s="799">
        <f t="shared" si="11"/>
        <v>80</v>
      </c>
      <c r="B110" s="801">
        <f t="shared" si="10"/>
        <v>0</v>
      </c>
      <c r="C110" s="801">
        <f t="shared" si="9"/>
        <v>0</v>
      </c>
      <c r="D110" s="820"/>
    </row>
    <row r="111" spans="1:4">
      <c r="A111" s="799">
        <f t="shared" si="11"/>
        <v>81</v>
      </c>
      <c r="B111" s="801">
        <f t="shared" si="10"/>
        <v>0</v>
      </c>
      <c r="C111" s="801">
        <f t="shared" si="9"/>
        <v>0</v>
      </c>
      <c r="D111" s="820"/>
    </row>
    <row r="112" spans="1:4">
      <c r="A112" s="799">
        <f t="shared" si="11"/>
        <v>82</v>
      </c>
      <c r="B112" s="801">
        <f t="shared" si="10"/>
        <v>0</v>
      </c>
      <c r="C112" s="801">
        <f t="shared" si="9"/>
        <v>0</v>
      </c>
      <c r="D112" s="820"/>
    </row>
    <row r="113" spans="1:4">
      <c r="A113" s="799">
        <f t="shared" si="11"/>
        <v>83</v>
      </c>
      <c r="B113" s="801">
        <f t="shared" si="10"/>
        <v>0</v>
      </c>
      <c r="C113" s="801">
        <f t="shared" si="9"/>
        <v>0</v>
      </c>
      <c r="D113" s="820"/>
    </row>
    <row r="114" spans="1:4">
      <c r="A114" s="804">
        <f t="shared" si="11"/>
        <v>84</v>
      </c>
      <c r="B114" s="801">
        <f t="shared" si="10"/>
        <v>0</v>
      </c>
      <c r="C114" s="801">
        <f t="shared" si="9"/>
        <v>0</v>
      </c>
      <c r="D114" s="820"/>
    </row>
    <row r="115" spans="1:4">
      <c r="A115" s="799">
        <f t="shared" si="11"/>
        <v>85</v>
      </c>
      <c r="B115" s="801">
        <f t="shared" si="10"/>
        <v>0</v>
      </c>
      <c r="C115" s="801">
        <f t="shared" si="9"/>
        <v>0</v>
      </c>
      <c r="D115" s="820"/>
    </row>
    <row r="116" spans="1:4">
      <c r="A116" s="799">
        <f t="shared" si="11"/>
        <v>86</v>
      </c>
      <c r="B116" s="801">
        <f t="shared" si="10"/>
        <v>0</v>
      </c>
      <c r="C116" s="801">
        <f t="shared" si="9"/>
        <v>0</v>
      </c>
      <c r="D116" s="820"/>
    </row>
    <row r="117" spans="1:4">
      <c r="A117" s="799">
        <f t="shared" si="11"/>
        <v>87</v>
      </c>
      <c r="B117" s="801">
        <f t="shared" si="10"/>
        <v>0</v>
      </c>
      <c r="C117" s="801">
        <f t="shared" si="9"/>
        <v>0</v>
      </c>
      <c r="D117" s="820"/>
    </row>
    <row r="118" spans="1:4">
      <c r="A118" s="799">
        <f t="shared" si="11"/>
        <v>88</v>
      </c>
      <c r="B118" s="801">
        <f t="shared" si="10"/>
        <v>0</v>
      </c>
      <c r="C118" s="801">
        <f t="shared" si="9"/>
        <v>0</v>
      </c>
      <c r="D118" s="820"/>
    </row>
    <row r="119" spans="1:4">
      <c r="A119" s="799">
        <f t="shared" si="11"/>
        <v>89</v>
      </c>
      <c r="B119" s="801">
        <f t="shared" si="10"/>
        <v>0</v>
      </c>
      <c r="C119" s="801">
        <f t="shared" si="9"/>
        <v>0</v>
      </c>
      <c r="D119" s="820"/>
    </row>
    <row r="120" spans="1:4">
      <c r="A120" s="799">
        <f t="shared" si="11"/>
        <v>90</v>
      </c>
      <c r="B120" s="801">
        <f t="shared" si="10"/>
        <v>0</v>
      </c>
      <c r="C120" s="801">
        <f t="shared" si="9"/>
        <v>0</v>
      </c>
      <c r="D120" s="820"/>
    </row>
    <row r="121" spans="1:4">
      <c r="A121" s="799">
        <f t="shared" si="11"/>
        <v>91</v>
      </c>
      <c r="B121" s="801">
        <f t="shared" si="10"/>
        <v>0</v>
      </c>
      <c r="C121" s="801">
        <f t="shared" si="9"/>
        <v>0</v>
      </c>
      <c r="D121" s="820"/>
    </row>
    <row r="122" spans="1:4">
      <c r="A122" s="799">
        <f t="shared" si="11"/>
        <v>92</v>
      </c>
      <c r="B122" s="801">
        <f t="shared" si="10"/>
        <v>0</v>
      </c>
      <c r="C122" s="801">
        <f t="shared" si="9"/>
        <v>0</v>
      </c>
      <c r="D122" s="820"/>
    </row>
    <row r="123" spans="1:4">
      <c r="A123" s="799">
        <f t="shared" si="11"/>
        <v>93</v>
      </c>
      <c r="B123" s="801">
        <f t="shared" si="10"/>
        <v>0</v>
      </c>
      <c r="C123" s="801">
        <f t="shared" si="9"/>
        <v>0</v>
      </c>
      <c r="D123" s="820"/>
    </row>
    <row r="124" spans="1:4">
      <c r="A124" s="799">
        <f t="shared" si="11"/>
        <v>94</v>
      </c>
      <c r="B124" s="801">
        <f t="shared" si="10"/>
        <v>0</v>
      </c>
      <c r="C124" s="801">
        <f t="shared" si="9"/>
        <v>0</v>
      </c>
      <c r="D124" s="820"/>
    </row>
    <row r="125" spans="1:4">
      <c r="A125" s="799">
        <f t="shared" si="11"/>
        <v>95</v>
      </c>
      <c r="B125" s="801">
        <f t="shared" si="10"/>
        <v>0</v>
      </c>
      <c r="C125" s="801">
        <f t="shared" si="9"/>
        <v>0</v>
      </c>
      <c r="D125" s="820"/>
    </row>
    <row r="126" spans="1:4">
      <c r="A126" s="804">
        <f t="shared" si="11"/>
        <v>96</v>
      </c>
      <c r="B126" s="801">
        <f t="shared" si="10"/>
        <v>0</v>
      </c>
      <c r="C126" s="801">
        <f t="shared" si="9"/>
        <v>0</v>
      </c>
      <c r="D126" s="820"/>
    </row>
    <row r="127" spans="1:4">
      <c r="A127" s="799">
        <f t="shared" si="11"/>
        <v>97</v>
      </c>
      <c r="B127" s="801">
        <f t="shared" si="10"/>
        <v>0</v>
      </c>
      <c r="C127" s="801">
        <f t="shared" si="9"/>
        <v>0</v>
      </c>
      <c r="D127" s="820"/>
    </row>
    <row r="128" spans="1:4">
      <c r="A128" s="799">
        <f t="shared" si="11"/>
        <v>98</v>
      </c>
      <c r="B128" s="801">
        <f t="shared" si="10"/>
        <v>0</v>
      </c>
      <c r="C128" s="801">
        <f t="shared" si="9"/>
        <v>0</v>
      </c>
      <c r="D128" s="820"/>
    </row>
    <row r="129" spans="1:4">
      <c r="A129" s="799">
        <f t="shared" si="11"/>
        <v>99</v>
      </c>
      <c r="B129" s="801">
        <f t="shared" si="10"/>
        <v>0</v>
      </c>
      <c r="C129" s="801">
        <f t="shared" si="9"/>
        <v>0</v>
      </c>
      <c r="D129" s="820"/>
    </row>
    <row r="130" spans="1:4">
      <c r="A130" s="799">
        <f t="shared" si="11"/>
        <v>100</v>
      </c>
      <c r="B130" s="801">
        <f t="shared" si="10"/>
        <v>0</v>
      </c>
      <c r="C130" s="801">
        <f t="shared" si="9"/>
        <v>0</v>
      </c>
      <c r="D130" s="820"/>
    </row>
    <row r="131" spans="1:4">
      <c r="A131" s="799">
        <f t="shared" si="11"/>
        <v>101</v>
      </c>
      <c r="B131" s="801">
        <f t="shared" si="10"/>
        <v>0</v>
      </c>
      <c r="C131" s="801">
        <f t="shared" si="9"/>
        <v>0</v>
      </c>
      <c r="D131" s="820"/>
    </row>
    <row r="132" spans="1:4">
      <c r="A132" s="799">
        <f t="shared" si="11"/>
        <v>102</v>
      </c>
      <c r="B132" s="801">
        <f t="shared" si="10"/>
        <v>0</v>
      </c>
      <c r="C132" s="801">
        <f t="shared" si="9"/>
        <v>0</v>
      </c>
      <c r="D132" s="820"/>
    </row>
    <row r="133" spans="1:4">
      <c r="A133" s="799">
        <f t="shared" si="11"/>
        <v>103</v>
      </c>
      <c r="B133" s="801">
        <f t="shared" si="10"/>
        <v>0</v>
      </c>
      <c r="C133" s="801">
        <f t="shared" si="9"/>
        <v>0</v>
      </c>
      <c r="D133" s="820"/>
    </row>
    <row r="134" spans="1:4">
      <c r="A134" s="799">
        <f t="shared" si="11"/>
        <v>104</v>
      </c>
      <c r="B134" s="801">
        <f t="shared" si="10"/>
        <v>0</v>
      </c>
      <c r="C134" s="801">
        <f t="shared" si="9"/>
        <v>0</v>
      </c>
      <c r="D134" s="820"/>
    </row>
    <row r="135" spans="1:4">
      <c r="A135" s="799">
        <f t="shared" si="11"/>
        <v>105</v>
      </c>
      <c r="B135" s="801">
        <f t="shared" si="10"/>
        <v>0</v>
      </c>
      <c r="C135" s="801">
        <f t="shared" si="9"/>
        <v>0</v>
      </c>
      <c r="D135" s="820"/>
    </row>
    <row r="136" spans="1:4">
      <c r="A136" s="799">
        <f t="shared" si="11"/>
        <v>106</v>
      </c>
      <c r="B136" s="801">
        <f t="shared" si="10"/>
        <v>0</v>
      </c>
      <c r="C136" s="801">
        <f t="shared" si="9"/>
        <v>0</v>
      </c>
      <c r="D136" s="820"/>
    </row>
    <row r="137" spans="1:4">
      <c r="A137" s="799">
        <f t="shared" si="11"/>
        <v>107</v>
      </c>
      <c r="B137" s="801">
        <f t="shared" si="10"/>
        <v>0</v>
      </c>
      <c r="C137" s="801">
        <f t="shared" si="9"/>
        <v>0</v>
      </c>
      <c r="D137" s="820"/>
    </row>
    <row r="138" spans="1:4">
      <c r="A138" s="804">
        <f t="shared" si="11"/>
        <v>108</v>
      </c>
      <c r="B138" s="801">
        <f t="shared" si="10"/>
        <v>0</v>
      </c>
      <c r="C138" s="801">
        <f t="shared" si="9"/>
        <v>0</v>
      </c>
      <c r="D138" s="820"/>
    </row>
    <row r="139" spans="1:4">
      <c r="A139" s="799">
        <f t="shared" si="11"/>
        <v>109</v>
      </c>
      <c r="B139" s="801">
        <f t="shared" si="10"/>
        <v>0</v>
      </c>
      <c r="C139" s="801">
        <f t="shared" si="9"/>
        <v>0</v>
      </c>
      <c r="D139" s="820"/>
    </row>
    <row r="140" spans="1:4">
      <c r="A140" s="799">
        <f t="shared" si="11"/>
        <v>110</v>
      </c>
      <c r="B140" s="801">
        <f t="shared" si="10"/>
        <v>0</v>
      </c>
      <c r="C140" s="801">
        <f t="shared" si="9"/>
        <v>0</v>
      </c>
      <c r="D140" s="820"/>
    </row>
    <row r="141" spans="1:4">
      <c r="A141" s="799">
        <f t="shared" si="11"/>
        <v>111</v>
      </c>
      <c r="B141" s="801">
        <f t="shared" si="10"/>
        <v>0</v>
      </c>
      <c r="C141" s="801">
        <f t="shared" si="9"/>
        <v>0</v>
      </c>
      <c r="D141" s="820"/>
    </row>
    <row r="142" spans="1:4">
      <c r="A142" s="799">
        <f t="shared" si="11"/>
        <v>112</v>
      </c>
      <c r="B142" s="801">
        <f t="shared" si="10"/>
        <v>0</v>
      </c>
      <c r="C142" s="801">
        <f t="shared" si="9"/>
        <v>0</v>
      </c>
      <c r="D142" s="820"/>
    </row>
    <row r="143" spans="1:4">
      <c r="A143" s="799">
        <f t="shared" si="11"/>
        <v>113</v>
      </c>
      <c r="B143" s="801">
        <f t="shared" si="10"/>
        <v>0</v>
      </c>
      <c r="C143" s="801">
        <f t="shared" si="9"/>
        <v>0</v>
      </c>
      <c r="D143" s="820"/>
    </row>
    <row r="144" spans="1:4">
      <c r="A144" s="799">
        <f t="shared" si="11"/>
        <v>114</v>
      </c>
      <c r="B144" s="801">
        <f t="shared" si="10"/>
        <v>0</v>
      </c>
      <c r="C144" s="801">
        <f t="shared" si="9"/>
        <v>0</v>
      </c>
      <c r="D144" s="820"/>
    </row>
    <row r="145" spans="1:4">
      <c r="A145" s="799">
        <f t="shared" si="11"/>
        <v>115</v>
      </c>
      <c r="B145" s="801">
        <f t="shared" si="10"/>
        <v>0</v>
      </c>
      <c r="C145" s="801">
        <f t="shared" si="9"/>
        <v>0</v>
      </c>
      <c r="D145" s="820"/>
    </row>
    <row r="146" spans="1:4">
      <c r="A146" s="799">
        <f t="shared" si="11"/>
        <v>116</v>
      </c>
      <c r="B146" s="801">
        <f t="shared" si="10"/>
        <v>0</v>
      </c>
      <c r="C146" s="801">
        <f t="shared" si="9"/>
        <v>0</v>
      </c>
      <c r="D146" s="820"/>
    </row>
    <row r="147" spans="1:4">
      <c r="A147" s="799">
        <f t="shared" si="11"/>
        <v>117</v>
      </c>
      <c r="B147" s="801">
        <f t="shared" si="10"/>
        <v>0</v>
      </c>
      <c r="C147" s="801">
        <f t="shared" si="9"/>
        <v>0</v>
      </c>
      <c r="D147" s="820"/>
    </row>
    <row r="148" spans="1:4">
      <c r="A148" s="799">
        <f t="shared" si="11"/>
        <v>118</v>
      </c>
      <c r="B148" s="801">
        <f t="shared" si="10"/>
        <v>0</v>
      </c>
      <c r="C148" s="801">
        <f t="shared" si="9"/>
        <v>0</v>
      </c>
      <c r="D148" s="820"/>
    </row>
    <row r="149" spans="1:4">
      <c r="A149" s="799">
        <f t="shared" si="11"/>
        <v>119</v>
      </c>
      <c r="B149" s="801">
        <f t="shared" si="10"/>
        <v>0</v>
      </c>
      <c r="C149" s="801">
        <f t="shared" si="9"/>
        <v>0</v>
      </c>
      <c r="D149" s="820"/>
    </row>
    <row r="150" spans="1:4">
      <c r="A150" s="804">
        <f t="shared" si="11"/>
        <v>120</v>
      </c>
      <c r="B150" s="801">
        <f t="shared" si="10"/>
        <v>0</v>
      </c>
      <c r="C150" s="801">
        <f t="shared" si="9"/>
        <v>0</v>
      </c>
      <c r="D150" s="820"/>
    </row>
    <row r="151" spans="1:4">
      <c r="A151" s="799">
        <f t="shared" si="11"/>
        <v>121</v>
      </c>
      <c r="B151" s="801">
        <f t="shared" si="10"/>
        <v>0</v>
      </c>
      <c r="C151" s="801">
        <f t="shared" si="9"/>
        <v>0</v>
      </c>
      <c r="D151" s="820"/>
    </row>
    <row r="152" spans="1:4">
      <c r="A152" s="799">
        <f t="shared" si="11"/>
        <v>122</v>
      </c>
      <c r="B152" s="801">
        <f t="shared" si="10"/>
        <v>0</v>
      </c>
      <c r="C152" s="801">
        <f t="shared" si="9"/>
        <v>0</v>
      </c>
      <c r="D152" s="820"/>
    </row>
    <row r="153" spans="1:4">
      <c r="A153" s="799">
        <f t="shared" si="11"/>
        <v>123</v>
      </c>
      <c r="B153" s="801">
        <f t="shared" si="10"/>
        <v>0</v>
      </c>
      <c r="C153" s="801">
        <f t="shared" si="9"/>
        <v>0</v>
      </c>
      <c r="D153" s="820"/>
    </row>
    <row r="154" spans="1:4">
      <c r="A154" s="799">
        <f t="shared" si="11"/>
        <v>124</v>
      </c>
      <c r="B154" s="801">
        <f t="shared" si="10"/>
        <v>0</v>
      </c>
      <c r="C154" s="801">
        <f t="shared" si="9"/>
        <v>0</v>
      </c>
      <c r="D154" s="820"/>
    </row>
    <row r="155" spans="1:4">
      <c r="A155" s="799">
        <f t="shared" si="11"/>
        <v>125</v>
      </c>
      <c r="B155" s="801">
        <f t="shared" si="10"/>
        <v>0</v>
      </c>
      <c r="C155" s="801">
        <f t="shared" si="9"/>
        <v>0</v>
      </c>
      <c r="D155" s="820"/>
    </row>
    <row r="156" spans="1:4">
      <c r="A156" s="799">
        <f t="shared" si="11"/>
        <v>126</v>
      </c>
      <c r="B156" s="801">
        <f t="shared" si="10"/>
        <v>0</v>
      </c>
      <c r="C156" s="801">
        <f t="shared" si="9"/>
        <v>0</v>
      </c>
      <c r="D156" s="820"/>
    </row>
    <row r="157" spans="1:4">
      <c r="A157" s="799">
        <f t="shared" si="11"/>
        <v>127</v>
      </c>
      <c r="B157" s="801">
        <f t="shared" si="10"/>
        <v>0</v>
      </c>
      <c r="C157" s="801">
        <f t="shared" si="9"/>
        <v>0</v>
      </c>
      <c r="D157" s="820"/>
    </row>
    <row r="158" spans="1:4">
      <c r="A158" s="799">
        <f t="shared" si="11"/>
        <v>128</v>
      </c>
      <c r="B158" s="801">
        <f t="shared" si="10"/>
        <v>0</v>
      </c>
      <c r="C158" s="801">
        <f t="shared" ref="C158:C221" si="12">IF(B158&gt;$B$29,$B$29,B158)</f>
        <v>0</v>
      </c>
      <c r="D158" s="820"/>
    </row>
    <row r="159" spans="1:4">
      <c r="A159" s="799">
        <f t="shared" si="11"/>
        <v>129</v>
      </c>
      <c r="B159" s="801">
        <f t="shared" ref="B159:B222" si="13">IF((B158*(1+($B$27)/12))-$B$29&lt;0,0,(B158*(1+($B$27)/12))-$B$29)</f>
        <v>0</v>
      </c>
      <c r="C159" s="801">
        <f t="shared" si="12"/>
        <v>0</v>
      </c>
      <c r="D159" s="820"/>
    </row>
    <row r="160" spans="1:4">
      <c r="A160" s="799">
        <f t="shared" ref="A160:A223" si="14">A159+1</f>
        <v>130</v>
      </c>
      <c r="B160" s="801">
        <f t="shared" si="13"/>
        <v>0</v>
      </c>
      <c r="C160" s="801">
        <f t="shared" si="12"/>
        <v>0</v>
      </c>
      <c r="D160" s="820"/>
    </row>
    <row r="161" spans="1:4">
      <c r="A161" s="799">
        <f t="shared" si="14"/>
        <v>131</v>
      </c>
      <c r="B161" s="801">
        <f t="shared" si="13"/>
        <v>0</v>
      </c>
      <c r="C161" s="801">
        <f t="shared" si="12"/>
        <v>0</v>
      </c>
      <c r="D161" s="820"/>
    </row>
    <row r="162" spans="1:4">
      <c r="A162" s="804">
        <f t="shared" si="14"/>
        <v>132</v>
      </c>
      <c r="B162" s="801">
        <f t="shared" si="13"/>
        <v>0</v>
      </c>
      <c r="C162" s="801">
        <f t="shared" si="12"/>
        <v>0</v>
      </c>
      <c r="D162" s="820"/>
    </row>
    <row r="163" spans="1:4">
      <c r="A163" s="799">
        <f t="shared" si="14"/>
        <v>133</v>
      </c>
      <c r="B163" s="801">
        <f t="shared" si="13"/>
        <v>0</v>
      </c>
      <c r="C163" s="801">
        <f t="shared" si="12"/>
        <v>0</v>
      </c>
      <c r="D163" s="820"/>
    </row>
    <row r="164" spans="1:4">
      <c r="A164" s="799">
        <f t="shared" si="14"/>
        <v>134</v>
      </c>
      <c r="B164" s="801">
        <f t="shared" si="13"/>
        <v>0</v>
      </c>
      <c r="C164" s="801">
        <f t="shared" si="12"/>
        <v>0</v>
      </c>
      <c r="D164" s="820"/>
    </row>
    <row r="165" spans="1:4">
      <c r="A165" s="799">
        <f t="shared" si="14"/>
        <v>135</v>
      </c>
      <c r="B165" s="801">
        <f t="shared" si="13"/>
        <v>0</v>
      </c>
      <c r="C165" s="801">
        <f t="shared" si="12"/>
        <v>0</v>
      </c>
      <c r="D165" s="820"/>
    </row>
    <row r="166" spans="1:4">
      <c r="A166" s="799">
        <f t="shared" si="14"/>
        <v>136</v>
      </c>
      <c r="B166" s="801">
        <f t="shared" si="13"/>
        <v>0</v>
      </c>
      <c r="C166" s="801">
        <f t="shared" si="12"/>
        <v>0</v>
      </c>
      <c r="D166" s="820"/>
    </row>
    <row r="167" spans="1:4">
      <c r="A167" s="799">
        <f t="shared" si="14"/>
        <v>137</v>
      </c>
      <c r="B167" s="801">
        <f t="shared" si="13"/>
        <v>0</v>
      </c>
      <c r="C167" s="801">
        <f t="shared" si="12"/>
        <v>0</v>
      </c>
      <c r="D167" s="820"/>
    </row>
    <row r="168" spans="1:4">
      <c r="A168" s="799">
        <f t="shared" si="14"/>
        <v>138</v>
      </c>
      <c r="B168" s="801">
        <f t="shared" si="13"/>
        <v>0</v>
      </c>
      <c r="C168" s="801">
        <f t="shared" si="12"/>
        <v>0</v>
      </c>
      <c r="D168" s="820"/>
    </row>
    <row r="169" spans="1:4">
      <c r="A169" s="799">
        <f t="shared" si="14"/>
        <v>139</v>
      </c>
      <c r="B169" s="801">
        <f t="shared" si="13"/>
        <v>0</v>
      </c>
      <c r="C169" s="801">
        <f t="shared" si="12"/>
        <v>0</v>
      </c>
      <c r="D169" s="820"/>
    </row>
    <row r="170" spans="1:4">
      <c r="A170" s="799">
        <f t="shared" si="14"/>
        <v>140</v>
      </c>
      <c r="B170" s="801">
        <f t="shared" si="13"/>
        <v>0</v>
      </c>
      <c r="C170" s="801">
        <f t="shared" si="12"/>
        <v>0</v>
      </c>
      <c r="D170" s="820"/>
    </row>
    <row r="171" spans="1:4">
      <c r="A171" s="799">
        <f t="shared" si="14"/>
        <v>141</v>
      </c>
      <c r="B171" s="801">
        <f t="shared" si="13"/>
        <v>0</v>
      </c>
      <c r="C171" s="801">
        <f t="shared" si="12"/>
        <v>0</v>
      </c>
      <c r="D171" s="820"/>
    </row>
    <row r="172" spans="1:4">
      <c r="A172" s="799">
        <f t="shared" si="14"/>
        <v>142</v>
      </c>
      <c r="B172" s="801">
        <f t="shared" si="13"/>
        <v>0</v>
      </c>
      <c r="C172" s="801">
        <f t="shared" si="12"/>
        <v>0</v>
      </c>
      <c r="D172" s="820"/>
    </row>
    <row r="173" spans="1:4">
      <c r="A173" s="799">
        <f t="shared" si="14"/>
        <v>143</v>
      </c>
      <c r="B173" s="801">
        <f t="shared" si="13"/>
        <v>0</v>
      </c>
      <c r="C173" s="801">
        <f t="shared" si="12"/>
        <v>0</v>
      </c>
      <c r="D173" s="820"/>
    </row>
    <row r="174" spans="1:4">
      <c r="A174" s="804">
        <f t="shared" si="14"/>
        <v>144</v>
      </c>
      <c r="B174" s="801">
        <f t="shared" si="13"/>
        <v>0</v>
      </c>
      <c r="C174" s="801">
        <f t="shared" si="12"/>
        <v>0</v>
      </c>
      <c r="D174" s="820"/>
    </row>
    <row r="175" spans="1:4">
      <c r="A175" s="799">
        <f t="shared" si="14"/>
        <v>145</v>
      </c>
      <c r="B175" s="801">
        <f t="shared" si="13"/>
        <v>0</v>
      </c>
      <c r="C175" s="801">
        <f t="shared" si="12"/>
        <v>0</v>
      </c>
      <c r="D175" s="820"/>
    </row>
    <row r="176" spans="1:4">
      <c r="A176" s="799">
        <f t="shared" si="14"/>
        <v>146</v>
      </c>
      <c r="B176" s="801">
        <f t="shared" si="13"/>
        <v>0</v>
      </c>
      <c r="C176" s="801">
        <f t="shared" si="12"/>
        <v>0</v>
      </c>
      <c r="D176" s="820"/>
    </row>
    <row r="177" spans="1:4">
      <c r="A177" s="799">
        <f t="shared" si="14"/>
        <v>147</v>
      </c>
      <c r="B177" s="801">
        <f t="shared" si="13"/>
        <v>0</v>
      </c>
      <c r="C177" s="801">
        <f t="shared" si="12"/>
        <v>0</v>
      </c>
      <c r="D177" s="820"/>
    </row>
    <row r="178" spans="1:4">
      <c r="A178" s="799">
        <f t="shared" si="14"/>
        <v>148</v>
      </c>
      <c r="B178" s="801">
        <f t="shared" si="13"/>
        <v>0</v>
      </c>
      <c r="C178" s="801">
        <f t="shared" si="12"/>
        <v>0</v>
      </c>
      <c r="D178" s="820"/>
    </row>
    <row r="179" spans="1:4">
      <c r="A179" s="799">
        <f t="shared" si="14"/>
        <v>149</v>
      </c>
      <c r="B179" s="801">
        <f t="shared" si="13"/>
        <v>0</v>
      </c>
      <c r="C179" s="801">
        <f t="shared" si="12"/>
        <v>0</v>
      </c>
      <c r="D179" s="820"/>
    </row>
    <row r="180" spans="1:4">
      <c r="A180" s="799">
        <f t="shared" si="14"/>
        <v>150</v>
      </c>
      <c r="B180" s="801">
        <f t="shared" si="13"/>
        <v>0</v>
      </c>
      <c r="C180" s="801">
        <f t="shared" si="12"/>
        <v>0</v>
      </c>
      <c r="D180" s="820"/>
    </row>
    <row r="181" spans="1:4">
      <c r="A181" s="799">
        <f t="shared" si="14"/>
        <v>151</v>
      </c>
      <c r="B181" s="801">
        <f t="shared" si="13"/>
        <v>0</v>
      </c>
      <c r="C181" s="801">
        <f t="shared" si="12"/>
        <v>0</v>
      </c>
      <c r="D181" s="820"/>
    </row>
    <row r="182" spans="1:4">
      <c r="A182" s="799">
        <f t="shared" si="14"/>
        <v>152</v>
      </c>
      <c r="B182" s="801">
        <f t="shared" si="13"/>
        <v>0</v>
      </c>
      <c r="C182" s="801">
        <f t="shared" si="12"/>
        <v>0</v>
      </c>
      <c r="D182" s="820"/>
    </row>
    <row r="183" spans="1:4">
      <c r="A183" s="799">
        <f t="shared" si="14"/>
        <v>153</v>
      </c>
      <c r="B183" s="801">
        <f t="shared" si="13"/>
        <v>0</v>
      </c>
      <c r="C183" s="801">
        <f t="shared" si="12"/>
        <v>0</v>
      </c>
      <c r="D183" s="820"/>
    </row>
    <row r="184" spans="1:4">
      <c r="A184" s="799">
        <f t="shared" si="14"/>
        <v>154</v>
      </c>
      <c r="B184" s="801">
        <f t="shared" si="13"/>
        <v>0</v>
      </c>
      <c r="C184" s="801">
        <f t="shared" si="12"/>
        <v>0</v>
      </c>
      <c r="D184" s="820"/>
    </row>
    <row r="185" spans="1:4">
      <c r="A185" s="799">
        <f t="shared" si="14"/>
        <v>155</v>
      </c>
      <c r="B185" s="801">
        <f t="shared" si="13"/>
        <v>0</v>
      </c>
      <c r="C185" s="801">
        <f t="shared" si="12"/>
        <v>0</v>
      </c>
      <c r="D185" s="820"/>
    </row>
    <row r="186" spans="1:4">
      <c r="A186" s="804">
        <f t="shared" si="14"/>
        <v>156</v>
      </c>
      <c r="B186" s="801">
        <f t="shared" si="13"/>
        <v>0</v>
      </c>
      <c r="C186" s="801">
        <f t="shared" si="12"/>
        <v>0</v>
      </c>
      <c r="D186" s="820"/>
    </row>
    <row r="187" spans="1:4">
      <c r="A187" s="799">
        <f t="shared" si="14"/>
        <v>157</v>
      </c>
      <c r="B187" s="801">
        <f t="shared" si="13"/>
        <v>0</v>
      </c>
      <c r="C187" s="801">
        <f t="shared" si="12"/>
        <v>0</v>
      </c>
      <c r="D187" s="820"/>
    </row>
    <row r="188" spans="1:4">
      <c r="A188" s="799">
        <f t="shared" si="14"/>
        <v>158</v>
      </c>
      <c r="B188" s="801">
        <f t="shared" si="13"/>
        <v>0</v>
      </c>
      <c r="C188" s="801">
        <f t="shared" si="12"/>
        <v>0</v>
      </c>
      <c r="D188" s="820"/>
    </row>
    <row r="189" spans="1:4">
      <c r="A189" s="799">
        <f t="shared" si="14"/>
        <v>159</v>
      </c>
      <c r="B189" s="801">
        <f t="shared" si="13"/>
        <v>0</v>
      </c>
      <c r="C189" s="801">
        <f t="shared" si="12"/>
        <v>0</v>
      </c>
      <c r="D189" s="820"/>
    </row>
    <row r="190" spans="1:4">
      <c r="A190" s="799">
        <f t="shared" si="14"/>
        <v>160</v>
      </c>
      <c r="B190" s="801">
        <f t="shared" si="13"/>
        <v>0</v>
      </c>
      <c r="C190" s="801">
        <f t="shared" si="12"/>
        <v>0</v>
      </c>
      <c r="D190" s="820"/>
    </row>
    <row r="191" spans="1:4">
      <c r="A191" s="799">
        <f t="shared" si="14"/>
        <v>161</v>
      </c>
      <c r="B191" s="801">
        <f t="shared" si="13"/>
        <v>0</v>
      </c>
      <c r="C191" s="801">
        <f t="shared" si="12"/>
        <v>0</v>
      </c>
      <c r="D191" s="820"/>
    </row>
    <row r="192" spans="1:4">
      <c r="A192" s="799">
        <f t="shared" si="14"/>
        <v>162</v>
      </c>
      <c r="B192" s="801">
        <f t="shared" si="13"/>
        <v>0</v>
      </c>
      <c r="C192" s="801">
        <f t="shared" si="12"/>
        <v>0</v>
      </c>
      <c r="D192" s="820"/>
    </row>
    <row r="193" spans="1:4">
      <c r="A193" s="799">
        <f t="shared" si="14"/>
        <v>163</v>
      </c>
      <c r="B193" s="801">
        <f t="shared" si="13"/>
        <v>0</v>
      </c>
      <c r="C193" s="801">
        <f t="shared" si="12"/>
        <v>0</v>
      </c>
      <c r="D193" s="820"/>
    </row>
    <row r="194" spans="1:4">
      <c r="A194" s="799">
        <f t="shared" si="14"/>
        <v>164</v>
      </c>
      <c r="B194" s="801">
        <f t="shared" si="13"/>
        <v>0</v>
      </c>
      <c r="C194" s="801">
        <f t="shared" si="12"/>
        <v>0</v>
      </c>
      <c r="D194" s="820"/>
    </row>
    <row r="195" spans="1:4">
      <c r="A195" s="799">
        <f t="shared" si="14"/>
        <v>165</v>
      </c>
      <c r="B195" s="801">
        <f t="shared" si="13"/>
        <v>0</v>
      </c>
      <c r="C195" s="801">
        <f t="shared" si="12"/>
        <v>0</v>
      </c>
      <c r="D195" s="820"/>
    </row>
    <row r="196" spans="1:4">
      <c r="A196" s="799">
        <f t="shared" si="14"/>
        <v>166</v>
      </c>
      <c r="B196" s="801">
        <f t="shared" si="13"/>
        <v>0</v>
      </c>
      <c r="C196" s="801">
        <f t="shared" si="12"/>
        <v>0</v>
      </c>
      <c r="D196" s="820"/>
    </row>
    <row r="197" spans="1:4">
      <c r="A197" s="799">
        <f t="shared" si="14"/>
        <v>167</v>
      </c>
      <c r="B197" s="801">
        <f t="shared" si="13"/>
        <v>0</v>
      </c>
      <c r="C197" s="801">
        <f t="shared" si="12"/>
        <v>0</v>
      </c>
      <c r="D197" s="820"/>
    </row>
    <row r="198" spans="1:4">
      <c r="A198" s="804">
        <f t="shared" si="14"/>
        <v>168</v>
      </c>
      <c r="B198" s="801">
        <f t="shared" si="13"/>
        <v>0</v>
      </c>
      <c r="C198" s="801">
        <f t="shared" si="12"/>
        <v>0</v>
      </c>
      <c r="D198" s="820"/>
    </row>
    <row r="199" spans="1:4">
      <c r="A199" s="799">
        <f t="shared" si="14"/>
        <v>169</v>
      </c>
      <c r="B199" s="801">
        <f t="shared" si="13"/>
        <v>0</v>
      </c>
      <c r="C199" s="801">
        <f t="shared" si="12"/>
        <v>0</v>
      </c>
      <c r="D199" s="820"/>
    </row>
    <row r="200" spans="1:4">
      <c r="A200" s="799">
        <f t="shared" si="14"/>
        <v>170</v>
      </c>
      <c r="B200" s="801">
        <f t="shared" si="13"/>
        <v>0</v>
      </c>
      <c r="C200" s="801">
        <f t="shared" si="12"/>
        <v>0</v>
      </c>
      <c r="D200" s="820"/>
    </row>
    <row r="201" spans="1:4">
      <c r="A201" s="799">
        <f t="shared" si="14"/>
        <v>171</v>
      </c>
      <c r="B201" s="801">
        <f t="shared" si="13"/>
        <v>0</v>
      </c>
      <c r="C201" s="801">
        <f t="shared" si="12"/>
        <v>0</v>
      </c>
      <c r="D201" s="820"/>
    </row>
    <row r="202" spans="1:4">
      <c r="A202" s="799">
        <f t="shared" si="14"/>
        <v>172</v>
      </c>
      <c r="B202" s="801">
        <f t="shared" si="13"/>
        <v>0</v>
      </c>
      <c r="C202" s="801">
        <f t="shared" si="12"/>
        <v>0</v>
      </c>
      <c r="D202" s="820"/>
    </row>
    <row r="203" spans="1:4">
      <c r="A203" s="799">
        <f t="shared" si="14"/>
        <v>173</v>
      </c>
      <c r="B203" s="801">
        <f t="shared" si="13"/>
        <v>0</v>
      </c>
      <c r="C203" s="801">
        <f t="shared" si="12"/>
        <v>0</v>
      </c>
      <c r="D203" s="820"/>
    </row>
    <row r="204" spans="1:4">
      <c r="A204" s="799">
        <f t="shared" si="14"/>
        <v>174</v>
      </c>
      <c r="B204" s="801">
        <f t="shared" si="13"/>
        <v>0</v>
      </c>
      <c r="C204" s="801">
        <f t="shared" si="12"/>
        <v>0</v>
      </c>
      <c r="D204" s="820"/>
    </row>
    <row r="205" spans="1:4">
      <c r="A205" s="799">
        <f t="shared" si="14"/>
        <v>175</v>
      </c>
      <c r="B205" s="801">
        <f t="shared" si="13"/>
        <v>0</v>
      </c>
      <c r="C205" s="801">
        <f t="shared" si="12"/>
        <v>0</v>
      </c>
      <c r="D205" s="820"/>
    </row>
    <row r="206" spans="1:4">
      <c r="A206" s="799">
        <f t="shared" si="14"/>
        <v>176</v>
      </c>
      <c r="B206" s="801">
        <f t="shared" si="13"/>
        <v>0</v>
      </c>
      <c r="C206" s="801">
        <f t="shared" si="12"/>
        <v>0</v>
      </c>
      <c r="D206" s="820"/>
    </row>
    <row r="207" spans="1:4">
      <c r="A207" s="799">
        <f t="shared" si="14"/>
        <v>177</v>
      </c>
      <c r="B207" s="801">
        <f t="shared" si="13"/>
        <v>0</v>
      </c>
      <c r="C207" s="801">
        <f t="shared" si="12"/>
        <v>0</v>
      </c>
      <c r="D207" s="820"/>
    </row>
    <row r="208" spans="1:4">
      <c r="A208" s="799">
        <f t="shared" si="14"/>
        <v>178</v>
      </c>
      <c r="B208" s="801">
        <f t="shared" si="13"/>
        <v>0</v>
      </c>
      <c r="C208" s="801">
        <f t="shared" si="12"/>
        <v>0</v>
      </c>
      <c r="D208" s="820"/>
    </row>
    <row r="209" spans="1:4">
      <c r="A209" s="799">
        <f t="shared" si="14"/>
        <v>179</v>
      </c>
      <c r="B209" s="801">
        <f t="shared" si="13"/>
        <v>0</v>
      </c>
      <c r="C209" s="801">
        <f t="shared" si="12"/>
        <v>0</v>
      </c>
      <c r="D209" s="820"/>
    </row>
    <row r="210" spans="1:4">
      <c r="A210" s="804">
        <f t="shared" si="14"/>
        <v>180</v>
      </c>
      <c r="B210" s="801">
        <f t="shared" si="13"/>
        <v>0</v>
      </c>
      <c r="C210" s="801">
        <f t="shared" si="12"/>
        <v>0</v>
      </c>
      <c r="D210" s="820"/>
    </row>
    <row r="211" spans="1:4">
      <c r="A211" s="799">
        <f t="shared" si="14"/>
        <v>181</v>
      </c>
      <c r="B211" s="801">
        <f t="shared" si="13"/>
        <v>0</v>
      </c>
      <c r="C211" s="801">
        <f t="shared" si="12"/>
        <v>0</v>
      </c>
      <c r="D211" s="820"/>
    </row>
    <row r="212" spans="1:4">
      <c r="A212" s="799">
        <f t="shared" si="14"/>
        <v>182</v>
      </c>
      <c r="B212" s="801">
        <f t="shared" si="13"/>
        <v>0</v>
      </c>
      <c r="C212" s="801">
        <f t="shared" si="12"/>
        <v>0</v>
      </c>
      <c r="D212" s="820"/>
    </row>
    <row r="213" spans="1:4">
      <c r="A213" s="799">
        <f t="shared" si="14"/>
        <v>183</v>
      </c>
      <c r="B213" s="801">
        <f t="shared" si="13"/>
        <v>0</v>
      </c>
      <c r="C213" s="801">
        <f t="shared" si="12"/>
        <v>0</v>
      </c>
      <c r="D213" s="820"/>
    </row>
    <row r="214" spans="1:4">
      <c r="A214" s="799">
        <f t="shared" si="14"/>
        <v>184</v>
      </c>
      <c r="B214" s="801">
        <f t="shared" si="13"/>
        <v>0</v>
      </c>
      <c r="C214" s="801">
        <f t="shared" si="12"/>
        <v>0</v>
      </c>
      <c r="D214" s="820"/>
    </row>
    <row r="215" spans="1:4">
      <c r="A215" s="799">
        <f t="shared" si="14"/>
        <v>185</v>
      </c>
      <c r="B215" s="801">
        <f t="shared" si="13"/>
        <v>0</v>
      </c>
      <c r="C215" s="801">
        <f t="shared" si="12"/>
        <v>0</v>
      </c>
      <c r="D215" s="820"/>
    </row>
    <row r="216" spans="1:4">
      <c r="A216" s="799">
        <f t="shared" si="14"/>
        <v>186</v>
      </c>
      <c r="B216" s="801">
        <f t="shared" si="13"/>
        <v>0</v>
      </c>
      <c r="C216" s="801">
        <f t="shared" si="12"/>
        <v>0</v>
      </c>
      <c r="D216" s="820"/>
    </row>
    <row r="217" spans="1:4">
      <c r="A217" s="799">
        <f t="shared" si="14"/>
        <v>187</v>
      </c>
      <c r="B217" s="801">
        <f t="shared" si="13"/>
        <v>0</v>
      </c>
      <c r="C217" s="801">
        <f t="shared" si="12"/>
        <v>0</v>
      </c>
      <c r="D217" s="820"/>
    </row>
    <row r="218" spans="1:4">
      <c r="A218" s="799">
        <f t="shared" si="14"/>
        <v>188</v>
      </c>
      <c r="B218" s="801">
        <f t="shared" si="13"/>
        <v>0</v>
      </c>
      <c r="C218" s="801">
        <f t="shared" si="12"/>
        <v>0</v>
      </c>
      <c r="D218" s="820"/>
    </row>
    <row r="219" spans="1:4">
      <c r="A219" s="799">
        <f t="shared" si="14"/>
        <v>189</v>
      </c>
      <c r="B219" s="801">
        <f t="shared" si="13"/>
        <v>0</v>
      </c>
      <c r="C219" s="801">
        <f t="shared" si="12"/>
        <v>0</v>
      </c>
      <c r="D219" s="820"/>
    </row>
    <row r="220" spans="1:4">
      <c r="A220" s="799">
        <f t="shared" si="14"/>
        <v>190</v>
      </c>
      <c r="B220" s="801">
        <f t="shared" si="13"/>
        <v>0</v>
      </c>
      <c r="C220" s="801">
        <f t="shared" si="12"/>
        <v>0</v>
      </c>
      <c r="D220" s="820"/>
    </row>
    <row r="221" spans="1:4">
      <c r="A221" s="799">
        <f t="shared" si="14"/>
        <v>191</v>
      </c>
      <c r="B221" s="801">
        <f t="shared" si="13"/>
        <v>0</v>
      </c>
      <c r="C221" s="801">
        <f t="shared" si="12"/>
        <v>0</v>
      </c>
      <c r="D221" s="820"/>
    </row>
    <row r="222" spans="1:4">
      <c r="A222" s="804">
        <f t="shared" si="14"/>
        <v>192</v>
      </c>
      <c r="B222" s="801">
        <f t="shared" si="13"/>
        <v>0</v>
      </c>
      <c r="C222" s="801">
        <f t="shared" ref="C222:C285" si="15">IF(B222&gt;$B$29,$B$29,B222)</f>
        <v>0</v>
      </c>
      <c r="D222" s="820"/>
    </row>
    <row r="223" spans="1:4">
      <c r="A223" s="799">
        <f t="shared" si="14"/>
        <v>193</v>
      </c>
      <c r="B223" s="801">
        <f t="shared" ref="B223:B286" si="16">IF((B222*(1+($B$27)/12))-$B$29&lt;0,0,(B222*(1+($B$27)/12))-$B$29)</f>
        <v>0</v>
      </c>
      <c r="C223" s="801">
        <f t="shared" si="15"/>
        <v>0</v>
      </c>
      <c r="D223" s="820"/>
    </row>
    <row r="224" spans="1:4">
      <c r="A224" s="799">
        <f t="shared" ref="A224:A287" si="17">A223+1</f>
        <v>194</v>
      </c>
      <c r="B224" s="801">
        <f t="shared" si="16"/>
        <v>0</v>
      </c>
      <c r="C224" s="801">
        <f t="shared" si="15"/>
        <v>0</v>
      </c>
      <c r="D224" s="820"/>
    </row>
    <row r="225" spans="1:4">
      <c r="A225" s="799">
        <f t="shared" si="17"/>
        <v>195</v>
      </c>
      <c r="B225" s="801">
        <f t="shared" si="16"/>
        <v>0</v>
      </c>
      <c r="C225" s="801">
        <f t="shared" si="15"/>
        <v>0</v>
      </c>
      <c r="D225" s="820"/>
    </row>
    <row r="226" spans="1:4">
      <c r="A226" s="799">
        <f t="shared" si="17"/>
        <v>196</v>
      </c>
      <c r="B226" s="801">
        <f t="shared" si="16"/>
        <v>0</v>
      </c>
      <c r="C226" s="801">
        <f t="shared" si="15"/>
        <v>0</v>
      </c>
      <c r="D226" s="820"/>
    </row>
    <row r="227" spans="1:4">
      <c r="A227" s="799">
        <f t="shared" si="17"/>
        <v>197</v>
      </c>
      <c r="B227" s="801">
        <f t="shared" si="16"/>
        <v>0</v>
      </c>
      <c r="C227" s="801">
        <f t="shared" si="15"/>
        <v>0</v>
      </c>
      <c r="D227" s="820"/>
    </row>
    <row r="228" spans="1:4">
      <c r="A228" s="799">
        <f t="shared" si="17"/>
        <v>198</v>
      </c>
      <c r="B228" s="801">
        <f t="shared" si="16"/>
        <v>0</v>
      </c>
      <c r="C228" s="801">
        <f t="shared" si="15"/>
        <v>0</v>
      </c>
      <c r="D228" s="820"/>
    </row>
    <row r="229" spans="1:4">
      <c r="A229" s="799">
        <f t="shared" si="17"/>
        <v>199</v>
      </c>
      <c r="B229" s="801">
        <f t="shared" si="16"/>
        <v>0</v>
      </c>
      <c r="C229" s="801">
        <f t="shared" si="15"/>
        <v>0</v>
      </c>
      <c r="D229" s="820"/>
    </row>
    <row r="230" spans="1:4">
      <c r="A230" s="799">
        <f t="shared" si="17"/>
        <v>200</v>
      </c>
      <c r="B230" s="801">
        <f t="shared" si="16"/>
        <v>0</v>
      </c>
      <c r="C230" s="801">
        <f t="shared" si="15"/>
        <v>0</v>
      </c>
      <c r="D230" s="820"/>
    </row>
    <row r="231" spans="1:4">
      <c r="A231" s="799">
        <f t="shared" si="17"/>
        <v>201</v>
      </c>
      <c r="B231" s="801">
        <f t="shared" si="16"/>
        <v>0</v>
      </c>
      <c r="C231" s="801">
        <f t="shared" si="15"/>
        <v>0</v>
      </c>
      <c r="D231" s="820"/>
    </row>
    <row r="232" spans="1:4">
      <c r="A232" s="799">
        <f t="shared" si="17"/>
        <v>202</v>
      </c>
      <c r="B232" s="801">
        <f t="shared" si="16"/>
        <v>0</v>
      </c>
      <c r="C232" s="801">
        <f t="shared" si="15"/>
        <v>0</v>
      </c>
      <c r="D232" s="820"/>
    </row>
    <row r="233" spans="1:4">
      <c r="A233" s="799">
        <f t="shared" si="17"/>
        <v>203</v>
      </c>
      <c r="B233" s="801">
        <f t="shared" si="16"/>
        <v>0</v>
      </c>
      <c r="C233" s="801">
        <f t="shared" si="15"/>
        <v>0</v>
      </c>
      <c r="D233" s="820"/>
    </row>
    <row r="234" spans="1:4">
      <c r="A234" s="804">
        <f t="shared" si="17"/>
        <v>204</v>
      </c>
      <c r="B234" s="801">
        <f t="shared" si="16"/>
        <v>0</v>
      </c>
      <c r="C234" s="801">
        <f t="shared" si="15"/>
        <v>0</v>
      </c>
      <c r="D234" s="820"/>
    </row>
    <row r="235" spans="1:4">
      <c r="A235" s="799">
        <f t="shared" si="17"/>
        <v>205</v>
      </c>
      <c r="B235" s="801">
        <f t="shared" si="16"/>
        <v>0</v>
      </c>
      <c r="C235" s="801">
        <f t="shared" si="15"/>
        <v>0</v>
      </c>
      <c r="D235" s="820"/>
    </row>
    <row r="236" spans="1:4">
      <c r="A236" s="799">
        <f t="shared" si="17"/>
        <v>206</v>
      </c>
      <c r="B236" s="801">
        <f t="shared" si="16"/>
        <v>0</v>
      </c>
      <c r="C236" s="801">
        <f t="shared" si="15"/>
        <v>0</v>
      </c>
      <c r="D236" s="820"/>
    </row>
    <row r="237" spans="1:4">
      <c r="A237" s="799">
        <f t="shared" si="17"/>
        <v>207</v>
      </c>
      <c r="B237" s="801">
        <f t="shared" si="16"/>
        <v>0</v>
      </c>
      <c r="C237" s="801">
        <f t="shared" si="15"/>
        <v>0</v>
      </c>
      <c r="D237" s="820"/>
    </row>
    <row r="238" spans="1:4">
      <c r="A238" s="799">
        <f t="shared" si="17"/>
        <v>208</v>
      </c>
      <c r="B238" s="801">
        <f t="shared" si="16"/>
        <v>0</v>
      </c>
      <c r="C238" s="801">
        <f t="shared" si="15"/>
        <v>0</v>
      </c>
      <c r="D238" s="820"/>
    </row>
    <row r="239" spans="1:4">
      <c r="A239" s="799">
        <f t="shared" si="17"/>
        <v>209</v>
      </c>
      <c r="B239" s="801">
        <f t="shared" si="16"/>
        <v>0</v>
      </c>
      <c r="C239" s="801">
        <f t="shared" si="15"/>
        <v>0</v>
      </c>
      <c r="D239" s="820"/>
    </row>
    <row r="240" spans="1:4">
      <c r="A240" s="799">
        <f t="shared" si="17"/>
        <v>210</v>
      </c>
      <c r="B240" s="801">
        <f t="shared" si="16"/>
        <v>0</v>
      </c>
      <c r="C240" s="801">
        <f t="shared" si="15"/>
        <v>0</v>
      </c>
      <c r="D240" s="820"/>
    </row>
    <row r="241" spans="1:4">
      <c r="A241" s="799">
        <f t="shared" si="17"/>
        <v>211</v>
      </c>
      <c r="B241" s="801">
        <f t="shared" si="16"/>
        <v>0</v>
      </c>
      <c r="C241" s="801">
        <f t="shared" si="15"/>
        <v>0</v>
      </c>
      <c r="D241" s="820"/>
    </row>
    <row r="242" spans="1:4">
      <c r="A242" s="799">
        <f t="shared" si="17"/>
        <v>212</v>
      </c>
      <c r="B242" s="801">
        <f t="shared" si="16"/>
        <v>0</v>
      </c>
      <c r="C242" s="801">
        <f t="shared" si="15"/>
        <v>0</v>
      </c>
      <c r="D242" s="820"/>
    </row>
    <row r="243" spans="1:4">
      <c r="A243" s="799">
        <f t="shared" si="17"/>
        <v>213</v>
      </c>
      <c r="B243" s="801">
        <f t="shared" si="16"/>
        <v>0</v>
      </c>
      <c r="C243" s="801">
        <f t="shared" si="15"/>
        <v>0</v>
      </c>
      <c r="D243" s="820"/>
    </row>
    <row r="244" spans="1:4">
      <c r="A244" s="799">
        <f t="shared" si="17"/>
        <v>214</v>
      </c>
      <c r="B244" s="801">
        <f t="shared" si="16"/>
        <v>0</v>
      </c>
      <c r="C244" s="801">
        <f t="shared" si="15"/>
        <v>0</v>
      </c>
      <c r="D244" s="820"/>
    </row>
    <row r="245" spans="1:4">
      <c r="A245" s="799">
        <f t="shared" si="17"/>
        <v>215</v>
      </c>
      <c r="B245" s="801">
        <f t="shared" si="16"/>
        <v>0</v>
      </c>
      <c r="C245" s="801">
        <f t="shared" si="15"/>
        <v>0</v>
      </c>
      <c r="D245" s="820"/>
    </row>
    <row r="246" spans="1:4">
      <c r="A246" s="804">
        <f t="shared" si="17"/>
        <v>216</v>
      </c>
      <c r="B246" s="801">
        <f t="shared" si="16"/>
        <v>0</v>
      </c>
      <c r="C246" s="801">
        <f t="shared" si="15"/>
        <v>0</v>
      </c>
      <c r="D246" s="820"/>
    </row>
    <row r="247" spans="1:4">
      <c r="A247" s="799">
        <f t="shared" si="17"/>
        <v>217</v>
      </c>
      <c r="B247" s="801">
        <f t="shared" si="16"/>
        <v>0</v>
      </c>
      <c r="C247" s="801">
        <f t="shared" si="15"/>
        <v>0</v>
      </c>
      <c r="D247" s="820"/>
    </row>
    <row r="248" spans="1:4">
      <c r="A248" s="799">
        <f t="shared" si="17"/>
        <v>218</v>
      </c>
      <c r="B248" s="801">
        <f t="shared" si="16"/>
        <v>0</v>
      </c>
      <c r="C248" s="801">
        <f t="shared" si="15"/>
        <v>0</v>
      </c>
      <c r="D248" s="820"/>
    </row>
    <row r="249" spans="1:4">
      <c r="A249" s="799">
        <f t="shared" si="17"/>
        <v>219</v>
      </c>
      <c r="B249" s="801">
        <f t="shared" si="16"/>
        <v>0</v>
      </c>
      <c r="C249" s="801">
        <f t="shared" si="15"/>
        <v>0</v>
      </c>
      <c r="D249" s="820"/>
    </row>
    <row r="250" spans="1:4">
      <c r="A250" s="799">
        <f t="shared" si="17"/>
        <v>220</v>
      </c>
      <c r="B250" s="801">
        <f t="shared" si="16"/>
        <v>0</v>
      </c>
      <c r="C250" s="801">
        <f t="shared" si="15"/>
        <v>0</v>
      </c>
      <c r="D250" s="820"/>
    </row>
    <row r="251" spans="1:4">
      <c r="A251" s="799">
        <f t="shared" si="17"/>
        <v>221</v>
      </c>
      <c r="B251" s="801">
        <f t="shared" si="16"/>
        <v>0</v>
      </c>
      <c r="C251" s="801">
        <f t="shared" si="15"/>
        <v>0</v>
      </c>
      <c r="D251" s="820"/>
    </row>
    <row r="252" spans="1:4">
      <c r="A252" s="799">
        <f t="shared" si="17"/>
        <v>222</v>
      </c>
      <c r="B252" s="801">
        <f t="shared" si="16"/>
        <v>0</v>
      </c>
      <c r="C252" s="801">
        <f t="shared" si="15"/>
        <v>0</v>
      </c>
      <c r="D252" s="820"/>
    </row>
    <row r="253" spans="1:4">
      <c r="A253" s="799">
        <f t="shared" si="17"/>
        <v>223</v>
      </c>
      <c r="B253" s="801">
        <f t="shared" si="16"/>
        <v>0</v>
      </c>
      <c r="C253" s="801">
        <f t="shared" si="15"/>
        <v>0</v>
      </c>
      <c r="D253" s="820"/>
    </row>
    <row r="254" spans="1:4">
      <c r="A254" s="799">
        <f t="shared" si="17"/>
        <v>224</v>
      </c>
      <c r="B254" s="801">
        <f t="shared" si="16"/>
        <v>0</v>
      </c>
      <c r="C254" s="801">
        <f t="shared" si="15"/>
        <v>0</v>
      </c>
      <c r="D254" s="820"/>
    </row>
    <row r="255" spans="1:4">
      <c r="A255" s="799">
        <f t="shared" si="17"/>
        <v>225</v>
      </c>
      <c r="B255" s="801">
        <f t="shared" si="16"/>
        <v>0</v>
      </c>
      <c r="C255" s="801">
        <f t="shared" si="15"/>
        <v>0</v>
      </c>
      <c r="D255" s="820"/>
    </row>
    <row r="256" spans="1:4">
      <c r="A256" s="799">
        <f t="shared" si="17"/>
        <v>226</v>
      </c>
      <c r="B256" s="801">
        <f t="shared" si="16"/>
        <v>0</v>
      </c>
      <c r="C256" s="801">
        <f t="shared" si="15"/>
        <v>0</v>
      </c>
      <c r="D256" s="820"/>
    </row>
    <row r="257" spans="1:4">
      <c r="A257" s="799">
        <f t="shared" si="17"/>
        <v>227</v>
      </c>
      <c r="B257" s="801">
        <f t="shared" si="16"/>
        <v>0</v>
      </c>
      <c r="C257" s="801">
        <f t="shared" si="15"/>
        <v>0</v>
      </c>
      <c r="D257" s="820"/>
    </row>
    <row r="258" spans="1:4">
      <c r="A258" s="804">
        <f t="shared" si="17"/>
        <v>228</v>
      </c>
      <c r="B258" s="801">
        <f t="shared" si="16"/>
        <v>0</v>
      </c>
      <c r="C258" s="801">
        <f t="shared" si="15"/>
        <v>0</v>
      </c>
      <c r="D258" s="820"/>
    </row>
    <row r="259" spans="1:4">
      <c r="A259" s="799">
        <f t="shared" si="17"/>
        <v>229</v>
      </c>
      <c r="B259" s="801">
        <f t="shared" si="16"/>
        <v>0</v>
      </c>
      <c r="C259" s="801">
        <f t="shared" si="15"/>
        <v>0</v>
      </c>
      <c r="D259" s="820"/>
    </row>
    <row r="260" spans="1:4">
      <c r="A260" s="799">
        <f t="shared" si="17"/>
        <v>230</v>
      </c>
      <c r="B260" s="801">
        <f t="shared" si="16"/>
        <v>0</v>
      </c>
      <c r="C260" s="801">
        <f t="shared" si="15"/>
        <v>0</v>
      </c>
      <c r="D260" s="820"/>
    </row>
    <row r="261" spans="1:4">
      <c r="A261" s="799">
        <f t="shared" si="17"/>
        <v>231</v>
      </c>
      <c r="B261" s="801">
        <f t="shared" si="16"/>
        <v>0</v>
      </c>
      <c r="C261" s="801">
        <f t="shared" si="15"/>
        <v>0</v>
      </c>
      <c r="D261" s="820"/>
    </row>
    <row r="262" spans="1:4">
      <c r="A262" s="799">
        <f t="shared" si="17"/>
        <v>232</v>
      </c>
      <c r="B262" s="801">
        <f t="shared" si="16"/>
        <v>0</v>
      </c>
      <c r="C262" s="801">
        <f t="shared" si="15"/>
        <v>0</v>
      </c>
      <c r="D262" s="820"/>
    </row>
    <row r="263" spans="1:4">
      <c r="A263" s="799">
        <f t="shared" si="17"/>
        <v>233</v>
      </c>
      <c r="B263" s="801">
        <f t="shared" si="16"/>
        <v>0</v>
      </c>
      <c r="C263" s="801">
        <f t="shared" si="15"/>
        <v>0</v>
      </c>
      <c r="D263" s="820"/>
    </row>
    <row r="264" spans="1:4">
      <c r="A264" s="799">
        <f t="shared" si="17"/>
        <v>234</v>
      </c>
      <c r="B264" s="801">
        <f t="shared" si="16"/>
        <v>0</v>
      </c>
      <c r="C264" s="801">
        <f t="shared" si="15"/>
        <v>0</v>
      </c>
      <c r="D264" s="820"/>
    </row>
    <row r="265" spans="1:4">
      <c r="A265" s="799">
        <f t="shared" si="17"/>
        <v>235</v>
      </c>
      <c r="B265" s="801">
        <f t="shared" si="16"/>
        <v>0</v>
      </c>
      <c r="C265" s="801">
        <f t="shared" si="15"/>
        <v>0</v>
      </c>
      <c r="D265" s="820"/>
    </row>
    <row r="266" spans="1:4">
      <c r="A266" s="799">
        <f t="shared" si="17"/>
        <v>236</v>
      </c>
      <c r="B266" s="801">
        <f t="shared" si="16"/>
        <v>0</v>
      </c>
      <c r="C266" s="801">
        <f t="shared" si="15"/>
        <v>0</v>
      </c>
      <c r="D266" s="820"/>
    </row>
    <row r="267" spans="1:4">
      <c r="A267" s="799">
        <f t="shared" si="17"/>
        <v>237</v>
      </c>
      <c r="B267" s="801">
        <f t="shared" si="16"/>
        <v>0</v>
      </c>
      <c r="C267" s="801">
        <f t="shared" si="15"/>
        <v>0</v>
      </c>
      <c r="D267" s="820"/>
    </row>
    <row r="268" spans="1:4">
      <c r="A268" s="799">
        <f t="shared" si="17"/>
        <v>238</v>
      </c>
      <c r="B268" s="801">
        <f t="shared" si="16"/>
        <v>0</v>
      </c>
      <c r="C268" s="801">
        <f t="shared" si="15"/>
        <v>0</v>
      </c>
      <c r="D268" s="820"/>
    </row>
    <row r="269" spans="1:4">
      <c r="A269" s="799">
        <f t="shared" si="17"/>
        <v>239</v>
      </c>
      <c r="B269" s="801">
        <f t="shared" si="16"/>
        <v>0</v>
      </c>
      <c r="C269" s="801">
        <f t="shared" si="15"/>
        <v>0</v>
      </c>
      <c r="D269" s="820"/>
    </row>
    <row r="270" spans="1:4">
      <c r="A270" s="804">
        <f t="shared" si="17"/>
        <v>240</v>
      </c>
      <c r="B270" s="801">
        <f t="shared" si="16"/>
        <v>0</v>
      </c>
      <c r="C270" s="801">
        <f t="shared" si="15"/>
        <v>0</v>
      </c>
      <c r="D270" s="820"/>
    </row>
    <row r="271" spans="1:4">
      <c r="A271" s="799">
        <f t="shared" si="17"/>
        <v>241</v>
      </c>
      <c r="B271" s="801">
        <f t="shared" si="16"/>
        <v>0</v>
      </c>
      <c r="C271" s="801">
        <f t="shared" si="15"/>
        <v>0</v>
      </c>
      <c r="D271" s="820"/>
    </row>
    <row r="272" spans="1:4">
      <c r="A272" s="799">
        <f t="shared" si="17"/>
        <v>242</v>
      </c>
      <c r="B272" s="801">
        <f t="shared" si="16"/>
        <v>0</v>
      </c>
      <c r="C272" s="801">
        <f t="shared" si="15"/>
        <v>0</v>
      </c>
      <c r="D272" s="820"/>
    </row>
    <row r="273" spans="1:4">
      <c r="A273" s="799">
        <f t="shared" si="17"/>
        <v>243</v>
      </c>
      <c r="B273" s="801">
        <f t="shared" si="16"/>
        <v>0</v>
      </c>
      <c r="C273" s="801">
        <f t="shared" si="15"/>
        <v>0</v>
      </c>
      <c r="D273" s="820"/>
    </row>
    <row r="274" spans="1:4">
      <c r="A274" s="799">
        <f t="shared" si="17"/>
        <v>244</v>
      </c>
      <c r="B274" s="801">
        <f t="shared" si="16"/>
        <v>0</v>
      </c>
      <c r="C274" s="801">
        <f t="shared" si="15"/>
        <v>0</v>
      </c>
      <c r="D274" s="820"/>
    </row>
    <row r="275" spans="1:4">
      <c r="A275" s="799">
        <f t="shared" si="17"/>
        <v>245</v>
      </c>
      <c r="B275" s="801">
        <f t="shared" si="16"/>
        <v>0</v>
      </c>
      <c r="C275" s="801">
        <f t="shared" si="15"/>
        <v>0</v>
      </c>
      <c r="D275" s="820"/>
    </row>
    <row r="276" spans="1:4">
      <c r="A276" s="799">
        <f t="shared" si="17"/>
        <v>246</v>
      </c>
      <c r="B276" s="801">
        <f t="shared" si="16"/>
        <v>0</v>
      </c>
      <c r="C276" s="801">
        <f t="shared" si="15"/>
        <v>0</v>
      </c>
      <c r="D276" s="820"/>
    </row>
    <row r="277" spans="1:4">
      <c r="A277" s="799">
        <f t="shared" si="17"/>
        <v>247</v>
      </c>
      <c r="B277" s="801">
        <f t="shared" si="16"/>
        <v>0</v>
      </c>
      <c r="C277" s="801">
        <f t="shared" si="15"/>
        <v>0</v>
      </c>
      <c r="D277" s="820"/>
    </row>
    <row r="278" spans="1:4">
      <c r="A278" s="799">
        <f t="shared" si="17"/>
        <v>248</v>
      </c>
      <c r="B278" s="801">
        <f t="shared" si="16"/>
        <v>0</v>
      </c>
      <c r="C278" s="801">
        <f t="shared" si="15"/>
        <v>0</v>
      </c>
      <c r="D278" s="820"/>
    </row>
    <row r="279" spans="1:4">
      <c r="A279" s="799">
        <f t="shared" si="17"/>
        <v>249</v>
      </c>
      <c r="B279" s="801">
        <f t="shared" si="16"/>
        <v>0</v>
      </c>
      <c r="C279" s="801">
        <f t="shared" si="15"/>
        <v>0</v>
      </c>
      <c r="D279" s="820"/>
    </row>
    <row r="280" spans="1:4">
      <c r="A280" s="799">
        <f t="shared" si="17"/>
        <v>250</v>
      </c>
      <c r="B280" s="801">
        <f t="shared" si="16"/>
        <v>0</v>
      </c>
      <c r="C280" s="801">
        <f t="shared" si="15"/>
        <v>0</v>
      </c>
      <c r="D280" s="820"/>
    </row>
    <row r="281" spans="1:4">
      <c r="A281" s="799">
        <f t="shared" si="17"/>
        <v>251</v>
      </c>
      <c r="B281" s="801">
        <f t="shared" si="16"/>
        <v>0</v>
      </c>
      <c r="C281" s="801">
        <f t="shared" si="15"/>
        <v>0</v>
      </c>
      <c r="D281" s="820"/>
    </row>
    <row r="282" spans="1:4">
      <c r="A282" s="804">
        <f t="shared" si="17"/>
        <v>252</v>
      </c>
      <c r="B282" s="801">
        <f t="shared" si="16"/>
        <v>0</v>
      </c>
      <c r="C282" s="801">
        <f t="shared" si="15"/>
        <v>0</v>
      </c>
      <c r="D282" s="820"/>
    </row>
    <row r="283" spans="1:4">
      <c r="A283" s="799">
        <f t="shared" si="17"/>
        <v>253</v>
      </c>
      <c r="B283" s="801">
        <f t="shared" si="16"/>
        <v>0</v>
      </c>
      <c r="C283" s="801">
        <f t="shared" si="15"/>
        <v>0</v>
      </c>
      <c r="D283" s="820"/>
    </row>
    <row r="284" spans="1:4">
      <c r="A284" s="799">
        <f t="shared" si="17"/>
        <v>254</v>
      </c>
      <c r="B284" s="801">
        <f t="shared" si="16"/>
        <v>0</v>
      </c>
      <c r="C284" s="801">
        <f t="shared" si="15"/>
        <v>0</v>
      </c>
      <c r="D284" s="820"/>
    </row>
    <row r="285" spans="1:4">
      <c r="A285" s="799">
        <f t="shared" si="17"/>
        <v>255</v>
      </c>
      <c r="B285" s="801">
        <f t="shared" si="16"/>
        <v>0</v>
      </c>
      <c r="C285" s="801">
        <f t="shared" si="15"/>
        <v>0</v>
      </c>
      <c r="D285" s="820"/>
    </row>
    <row r="286" spans="1:4">
      <c r="A286" s="799">
        <f t="shared" si="17"/>
        <v>256</v>
      </c>
      <c r="B286" s="801">
        <f t="shared" si="16"/>
        <v>0</v>
      </c>
      <c r="C286" s="801">
        <f t="shared" ref="C286:C349" si="18">IF(B286&gt;$B$29,$B$29,B286)</f>
        <v>0</v>
      </c>
      <c r="D286" s="820"/>
    </row>
    <row r="287" spans="1:4">
      <c r="A287" s="799">
        <f t="shared" si="17"/>
        <v>257</v>
      </c>
      <c r="B287" s="801">
        <f t="shared" ref="B287:B350" si="19">IF((B286*(1+($B$27)/12))-$B$29&lt;0,0,(B286*(1+($B$27)/12))-$B$29)</f>
        <v>0</v>
      </c>
      <c r="C287" s="801">
        <f t="shared" si="18"/>
        <v>0</v>
      </c>
      <c r="D287" s="820"/>
    </row>
    <row r="288" spans="1:4">
      <c r="A288" s="799">
        <f t="shared" ref="A288:A351" si="20">A287+1</f>
        <v>258</v>
      </c>
      <c r="B288" s="801">
        <f t="shared" si="19"/>
        <v>0</v>
      </c>
      <c r="C288" s="801">
        <f t="shared" si="18"/>
        <v>0</v>
      </c>
      <c r="D288" s="820"/>
    </row>
    <row r="289" spans="1:4">
      <c r="A289" s="799">
        <f t="shared" si="20"/>
        <v>259</v>
      </c>
      <c r="B289" s="801">
        <f t="shared" si="19"/>
        <v>0</v>
      </c>
      <c r="C289" s="801">
        <f t="shared" si="18"/>
        <v>0</v>
      </c>
      <c r="D289" s="820"/>
    </row>
    <row r="290" spans="1:4">
      <c r="A290" s="799">
        <f t="shared" si="20"/>
        <v>260</v>
      </c>
      <c r="B290" s="801">
        <f t="shared" si="19"/>
        <v>0</v>
      </c>
      <c r="C290" s="801">
        <f t="shared" si="18"/>
        <v>0</v>
      </c>
      <c r="D290" s="820"/>
    </row>
    <row r="291" spans="1:4">
      <c r="A291" s="799">
        <f t="shared" si="20"/>
        <v>261</v>
      </c>
      <c r="B291" s="801">
        <f t="shared" si="19"/>
        <v>0</v>
      </c>
      <c r="C291" s="801">
        <f t="shared" si="18"/>
        <v>0</v>
      </c>
    </row>
    <row r="292" spans="1:4">
      <c r="A292" s="799">
        <f t="shared" si="20"/>
        <v>262</v>
      </c>
      <c r="B292" s="801">
        <f t="shared" si="19"/>
        <v>0</v>
      </c>
      <c r="C292" s="801">
        <f t="shared" si="18"/>
        <v>0</v>
      </c>
    </row>
    <row r="293" spans="1:4">
      <c r="A293" s="799">
        <f t="shared" si="20"/>
        <v>263</v>
      </c>
      <c r="B293" s="801">
        <f t="shared" si="19"/>
        <v>0</v>
      </c>
      <c r="C293" s="801">
        <f t="shared" si="18"/>
        <v>0</v>
      </c>
    </row>
    <row r="294" spans="1:4">
      <c r="A294" s="804">
        <f t="shared" si="20"/>
        <v>264</v>
      </c>
      <c r="B294" s="801">
        <f t="shared" si="19"/>
        <v>0</v>
      </c>
      <c r="C294" s="801">
        <f t="shared" si="18"/>
        <v>0</v>
      </c>
    </row>
    <row r="295" spans="1:4">
      <c r="A295" s="799">
        <f t="shared" si="20"/>
        <v>265</v>
      </c>
      <c r="B295" s="801">
        <f t="shared" si="19"/>
        <v>0</v>
      </c>
      <c r="C295" s="801">
        <f t="shared" si="18"/>
        <v>0</v>
      </c>
    </row>
    <row r="296" spans="1:4">
      <c r="A296" s="799">
        <f t="shared" si="20"/>
        <v>266</v>
      </c>
      <c r="B296" s="801">
        <f t="shared" si="19"/>
        <v>0</v>
      </c>
      <c r="C296" s="801">
        <f t="shared" si="18"/>
        <v>0</v>
      </c>
    </row>
    <row r="297" spans="1:4">
      <c r="A297" s="799">
        <f t="shared" si="20"/>
        <v>267</v>
      </c>
      <c r="B297" s="801">
        <f t="shared" si="19"/>
        <v>0</v>
      </c>
      <c r="C297" s="801">
        <f t="shared" si="18"/>
        <v>0</v>
      </c>
    </row>
    <row r="298" spans="1:4">
      <c r="A298" s="799">
        <f t="shared" si="20"/>
        <v>268</v>
      </c>
      <c r="B298" s="801">
        <f t="shared" si="19"/>
        <v>0</v>
      </c>
      <c r="C298" s="801">
        <f t="shared" si="18"/>
        <v>0</v>
      </c>
    </row>
    <row r="299" spans="1:4">
      <c r="A299" s="799">
        <f t="shared" si="20"/>
        <v>269</v>
      </c>
      <c r="B299" s="801">
        <f t="shared" si="19"/>
        <v>0</v>
      </c>
      <c r="C299" s="801">
        <f t="shared" si="18"/>
        <v>0</v>
      </c>
    </row>
    <row r="300" spans="1:4">
      <c r="A300" s="799">
        <f t="shared" si="20"/>
        <v>270</v>
      </c>
      <c r="B300" s="801">
        <f t="shared" si="19"/>
        <v>0</v>
      </c>
      <c r="C300" s="801">
        <f t="shared" si="18"/>
        <v>0</v>
      </c>
    </row>
    <row r="301" spans="1:4">
      <c r="A301" s="799">
        <f t="shared" si="20"/>
        <v>271</v>
      </c>
      <c r="B301" s="801">
        <f t="shared" si="19"/>
        <v>0</v>
      </c>
      <c r="C301" s="801">
        <f t="shared" si="18"/>
        <v>0</v>
      </c>
    </row>
    <row r="302" spans="1:4">
      <c r="A302" s="799">
        <f t="shared" si="20"/>
        <v>272</v>
      </c>
      <c r="B302" s="801">
        <f t="shared" si="19"/>
        <v>0</v>
      </c>
      <c r="C302" s="801">
        <f t="shared" si="18"/>
        <v>0</v>
      </c>
    </row>
    <row r="303" spans="1:4">
      <c r="A303" s="799">
        <f t="shared" si="20"/>
        <v>273</v>
      </c>
      <c r="B303" s="801">
        <f t="shared" si="19"/>
        <v>0</v>
      </c>
      <c r="C303" s="801">
        <f t="shared" si="18"/>
        <v>0</v>
      </c>
    </row>
    <row r="304" spans="1:4">
      <c r="A304" s="799">
        <f t="shared" si="20"/>
        <v>274</v>
      </c>
      <c r="B304" s="801">
        <f t="shared" si="19"/>
        <v>0</v>
      </c>
      <c r="C304" s="801">
        <f t="shared" si="18"/>
        <v>0</v>
      </c>
    </row>
    <row r="305" spans="1:3">
      <c r="A305" s="799">
        <f t="shared" si="20"/>
        <v>275</v>
      </c>
      <c r="B305" s="801">
        <f t="shared" si="19"/>
        <v>0</v>
      </c>
      <c r="C305" s="801">
        <f t="shared" si="18"/>
        <v>0</v>
      </c>
    </row>
    <row r="306" spans="1:3">
      <c r="A306" s="804">
        <f t="shared" si="20"/>
        <v>276</v>
      </c>
      <c r="B306" s="801">
        <f t="shared" si="19"/>
        <v>0</v>
      </c>
      <c r="C306" s="801">
        <f t="shared" si="18"/>
        <v>0</v>
      </c>
    </row>
    <row r="307" spans="1:3">
      <c r="A307" s="799">
        <f t="shared" si="20"/>
        <v>277</v>
      </c>
      <c r="B307" s="801">
        <f t="shared" si="19"/>
        <v>0</v>
      </c>
      <c r="C307" s="801">
        <f t="shared" si="18"/>
        <v>0</v>
      </c>
    </row>
    <row r="308" spans="1:3">
      <c r="A308" s="799">
        <f t="shared" si="20"/>
        <v>278</v>
      </c>
      <c r="B308" s="801">
        <f t="shared" si="19"/>
        <v>0</v>
      </c>
      <c r="C308" s="801">
        <f t="shared" si="18"/>
        <v>0</v>
      </c>
    </row>
    <row r="309" spans="1:3">
      <c r="A309" s="799">
        <f t="shared" si="20"/>
        <v>279</v>
      </c>
      <c r="B309" s="801">
        <f t="shared" si="19"/>
        <v>0</v>
      </c>
      <c r="C309" s="801">
        <f t="shared" si="18"/>
        <v>0</v>
      </c>
    </row>
    <row r="310" spans="1:3">
      <c r="A310" s="799">
        <f t="shared" si="20"/>
        <v>280</v>
      </c>
      <c r="B310" s="801">
        <f t="shared" si="19"/>
        <v>0</v>
      </c>
      <c r="C310" s="801">
        <f t="shared" si="18"/>
        <v>0</v>
      </c>
    </row>
    <row r="311" spans="1:3">
      <c r="A311" s="799">
        <f t="shared" si="20"/>
        <v>281</v>
      </c>
      <c r="B311" s="801">
        <f t="shared" si="19"/>
        <v>0</v>
      </c>
      <c r="C311" s="801">
        <f t="shared" si="18"/>
        <v>0</v>
      </c>
    </row>
    <row r="312" spans="1:3">
      <c r="A312" s="799">
        <f t="shared" si="20"/>
        <v>282</v>
      </c>
      <c r="B312" s="801">
        <f t="shared" si="19"/>
        <v>0</v>
      </c>
      <c r="C312" s="801">
        <f t="shared" si="18"/>
        <v>0</v>
      </c>
    </row>
    <row r="313" spans="1:3">
      <c r="A313" s="799">
        <f t="shared" si="20"/>
        <v>283</v>
      </c>
      <c r="B313" s="801">
        <f t="shared" si="19"/>
        <v>0</v>
      </c>
      <c r="C313" s="801">
        <f t="shared" si="18"/>
        <v>0</v>
      </c>
    </row>
    <row r="314" spans="1:3">
      <c r="A314" s="799">
        <f t="shared" si="20"/>
        <v>284</v>
      </c>
      <c r="B314" s="801">
        <f t="shared" si="19"/>
        <v>0</v>
      </c>
      <c r="C314" s="801">
        <f t="shared" si="18"/>
        <v>0</v>
      </c>
    </row>
    <row r="315" spans="1:3">
      <c r="A315" s="799">
        <f t="shared" si="20"/>
        <v>285</v>
      </c>
      <c r="B315" s="801">
        <f t="shared" si="19"/>
        <v>0</v>
      </c>
      <c r="C315" s="801">
        <f t="shared" si="18"/>
        <v>0</v>
      </c>
    </row>
    <row r="316" spans="1:3">
      <c r="A316" s="799">
        <f t="shared" si="20"/>
        <v>286</v>
      </c>
      <c r="B316" s="801">
        <f t="shared" si="19"/>
        <v>0</v>
      </c>
      <c r="C316" s="801">
        <f t="shared" si="18"/>
        <v>0</v>
      </c>
    </row>
    <row r="317" spans="1:3">
      <c r="A317" s="799">
        <f t="shared" si="20"/>
        <v>287</v>
      </c>
      <c r="B317" s="801">
        <f t="shared" si="19"/>
        <v>0</v>
      </c>
      <c r="C317" s="801">
        <f t="shared" si="18"/>
        <v>0</v>
      </c>
    </row>
    <row r="318" spans="1:3">
      <c r="A318" s="804">
        <f t="shared" si="20"/>
        <v>288</v>
      </c>
      <c r="B318" s="801">
        <f t="shared" si="19"/>
        <v>0</v>
      </c>
      <c r="C318" s="801">
        <f t="shared" si="18"/>
        <v>0</v>
      </c>
    </row>
    <row r="319" spans="1:3">
      <c r="A319" s="799">
        <f t="shared" si="20"/>
        <v>289</v>
      </c>
      <c r="B319" s="801">
        <f t="shared" si="19"/>
        <v>0</v>
      </c>
      <c r="C319" s="801">
        <f t="shared" si="18"/>
        <v>0</v>
      </c>
    </row>
    <row r="320" spans="1:3">
      <c r="A320" s="799">
        <f t="shared" si="20"/>
        <v>290</v>
      </c>
      <c r="B320" s="801">
        <f t="shared" si="19"/>
        <v>0</v>
      </c>
      <c r="C320" s="801">
        <f t="shared" si="18"/>
        <v>0</v>
      </c>
    </row>
    <row r="321" spans="1:3">
      <c r="A321" s="799">
        <f t="shared" si="20"/>
        <v>291</v>
      </c>
      <c r="B321" s="801">
        <f t="shared" si="19"/>
        <v>0</v>
      </c>
      <c r="C321" s="801">
        <f t="shared" si="18"/>
        <v>0</v>
      </c>
    </row>
    <row r="322" spans="1:3">
      <c r="A322" s="799">
        <f t="shared" si="20"/>
        <v>292</v>
      </c>
      <c r="B322" s="801">
        <f t="shared" si="19"/>
        <v>0</v>
      </c>
      <c r="C322" s="801">
        <f t="shared" si="18"/>
        <v>0</v>
      </c>
    </row>
    <row r="323" spans="1:3">
      <c r="A323" s="799">
        <f t="shared" si="20"/>
        <v>293</v>
      </c>
      <c r="B323" s="801">
        <f t="shared" si="19"/>
        <v>0</v>
      </c>
      <c r="C323" s="801">
        <f t="shared" si="18"/>
        <v>0</v>
      </c>
    </row>
    <row r="324" spans="1:3">
      <c r="A324" s="799">
        <f t="shared" si="20"/>
        <v>294</v>
      </c>
      <c r="B324" s="801">
        <f t="shared" si="19"/>
        <v>0</v>
      </c>
      <c r="C324" s="801">
        <f t="shared" si="18"/>
        <v>0</v>
      </c>
    </row>
    <row r="325" spans="1:3">
      <c r="A325" s="799">
        <f t="shared" si="20"/>
        <v>295</v>
      </c>
      <c r="B325" s="801">
        <f t="shared" si="19"/>
        <v>0</v>
      </c>
      <c r="C325" s="801">
        <f t="shared" si="18"/>
        <v>0</v>
      </c>
    </row>
    <row r="326" spans="1:3">
      <c r="A326" s="799">
        <f t="shared" si="20"/>
        <v>296</v>
      </c>
      <c r="B326" s="801">
        <f t="shared" si="19"/>
        <v>0</v>
      </c>
      <c r="C326" s="801">
        <f t="shared" si="18"/>
        <v>0</v>
      </c>
    </row>
    <row r="327" spans="1:3">
      <c r="A327" s="799">
        <f t="shared" si="20"/>
        <v>297</v>
      </c>
      <c r="B327" s="801">
        <f t="shared" si="19"/>
        <v>0</v>
      </c>
      <c r="C327" s="801">
        <f t="shared" si="18"/>
        <v>0</v>
      </c>
    </row>
    <row r="328" spans="1:3">
      <c r="A328" s="799">
        <f t="shared" si="20"/>
        <v>298</v>
      </c>
      <c r="B328" s="801">
        <f t="shared" si="19"/>
        <v>0</v>
      </c>
      <c r="C328" s="801">
        <f t="shared" si="18"/>
        <v>0</v>
      </c>
    </row>
    <row r="329" spans="1:3">
      <c r="A329" s="799">
        <f t="shared" si="20"/>
        <v>299</v>
      </c>
      <c r="B329" s="801">
        <f t="shared" si="19"/>
        <v>0</v>
      </c>
      <c r="C329" s="801">
        <f t="shared" si="18"/>
        <v>0</v>
      </c>
    </row>
    <row r="330" spans="1:3">
      <c r="A330" s="804">
        <f t="shared" si="20"/>
        <v>300</v>
      </c>
      <c r="B330" s="801">
        <f t="shared" si="19"/>
        <v>0</v>
      </c>
      <c r="C330" s="801">
        <f t="shared" si="18"/>
        <v>0</v>
      </c>
    </row>
    <row r="331" spans="1:3">
      <c r="A331" s="799">
        <f t="shared" si="20"/>
        <v>301</v>
      </c>
      <c r="B331" s="801">
        <f t="shared" si="19"/>
        <v>0</v>
      </c>
      <c r="C331" s="801">
        <f t="shared" si="18"/>
        <v>0</v>
      </c>
    </row>
    <row r="332" spans="1:3">
      <c r="A332" s="799">
        <f t="shared" si="20"/>
        <v>302</v>
      </c>
      <c r="B332" s="801">
        <f t="shared" si="19"/>
        <v>0</v>
      </c>
      <c r="C332" s="801">
        <f t="shared" si="18"/>
        <v>0</v>
      </c>
    </row>
    <row r="333" spans="1:3">
      <c r="A333" s="799">
        <f t="shared" si="20"/>
        <v>303</v>
      </c>
      <c r="B333" s="801">
        <f t="shared" si="19"/>
        <v>0</v>
      </c>
      <c r="C333" s="801">
        <f t="shared" si="18"/>
        <v>0</v>
      </c>
    </row>
    <row r="334" spans="1:3">
      <c r="A334" s="799">
        <f t="shared" si="20"/>
        <v>304</v>
      </c>
      <c r="B334" s="801">
        <f t="shared" si="19"/>
        <v>0</v>
      </c>
      <c r="C334" s="801">
        <f t="shared" si="18"/>
        <v>0</v>
      </c>
    </row>
    <row r="335" spans="1:3">
      <c r="A335" s="799">
        <f t="shared" si="20"/>
        <v>305</v>
      </c>
      <c r="B335" s="801">
        <f t="shared" si="19"/>
        <v>0</v>
      </c>
      <c r="C335" s="801">
        <f t="shared" si="18"/>
        <v>0</v>
      </c>
    </row>
    <row r="336" spans="1:3">
      <c r="A336" s="799">
        <f t="shared" si="20"/>
        <v>306</v>
      </c>
      <c r="B336" s="801">
        <f t="shared" si="19"/>
        <v>0</v>
      </c>
      <c r="C336" s="801">
        <f t="shared" si="18"/>
        <v>0</v>
      </c>
    </row>
    <row r="337" spans="1:3">
      <c r="A337" s="799">
        <f t="shared" si="20"/>
        <v>307</v>
      </c>
      <c r="B337" s="801">
        <f t="shared" si="19"/>
        <v>0</v>
      </c>
      <c r="C337" s="801">
        <f t="shared" si="18"/>
        <v>0</v>
      </c>
    </row>
    <row r="338" spans="1:3">
      <c r="A338" s="799">
        <f t="shared" si="20"/>
        <v>308</v>
      </c>
      <c r="B338" s="801">
        <f t="shared" si="19"/>
        <v>0</v>
      </c>
      <c r="C338" s="801">
        <f t="shared" si="18"/>
        <v>0</v>
      </c>
    </row>
    <row r="339" spans="1:3">
      <c r="A339" s="799">
        <f t="shared" si="20"/>
        <v>309</v>
      </c>
      <c r="B339" s="801">
        <f t="shared" si="19"/>
        <v>0</v>
      </c>
      <c r="C339" s="801">
        <f t="shared" si="18"/>
        <v>0</v>
      </c>
    </row>
    <row r="340" spans="1:3">
      <c r="A340" s="799">
        <f t="shared" si="20"/>
        <v>310</v>
      </c>
      <c r="B340" s="801">
        <f t="shared" si="19"/>
        <v>0</v>
      </c>
      <c r="C340" s="801">
        <f t="shared" si="18"/>
        <v>0</v>
      </c>
    </row>
    <row r="341" spans="1:3">
      <c r="A341" s="799">
        <f t="shared" si="20"/>
        <v>311</v>
      </c>
      <c r="B341" s="801">
        <f t="shared" si="19"/>
        <v>0</v>
      </c>
      <c r="C341" s="801">
        <f t="shared" si="18"/>
        <v>0</v>
      </c>
    </row>
    <row r="342" spans="1:3">
      <c r="A342" s="804">
        <f t="shared" si="20"/>
        <v>312</v>
      </c>
      <c r="B342" s="801">
        <f t="shared" si="19"/>
        <v>0</v>
      </c>
      <c r="C342" s="801">
        <f t="shared" si="18"/>
        <v>0</v>
      </c>
    </row>
    <row r="343" spans="1:3">
      <c r="A343" s="799">
        <f t="shared" si="20"/>
        <v>313</v>
      </c>
      <c r="B343" s="801">
        <f t="shared" si="19"/>
        <v>0</v>
      </c>
      <c r="C343" s="801">
        <f t="shared" si="18"/>
        <v>0</v>
      </c>
    </row>
    <row r="344" spans="1:3">
      <c r="A344" s="799">
        <f t="shared" si="20"/>
        <v>314</v>
      </c>
      <c r="B344" s="801">
        <f t="shared" si="19"/>
        <v>0</v>
      </c>
      <c r="C344" s="801">
        <f t="shared" si="18"/>
        <v>0</v>
      </c>
    </row>
    <row r="345" spans="1:3">
      <c r="A345" s="799">
        <f t="shared" si="20"/>
        <v>315</v>
      </c>
      <c r="B345" s="801">
        <f t="shared" si="19"/>
        <v>0</v>
      </c>
      <c r="C345" s="801">
        <f t="shared" si="18"/>
        <v>0</v>
      </c>
    </row>
    <row r="346" spans="1:3">
      <c r="A346" s="799">
        <f t="shared" si="20"/>
        <v>316</v>
      </c>
      <c r="B346" s="801">
        <f t="shared" si="19"/>
        <v>0</v>
      </c>
      <c r="C346" s="801">
        <f t="shared" si="18"/>
        <v>0</v>
      </c>
    </row>
    <row r="347" spans="1:3">
      <c r="A347" s="799">
        <f t="shared" si="20"/>
        <v>317</v>
      </c>
      <c r="B347" s="801">
        <f t="shared" si="19"/>
        <v>0</v>
      </c>
      <c r="C347" s="801">
        <f t="shared" si="18"/>
        <v>0</v>
      </c>
    </row>
    <row r="348" spans="1:3">
      <c r="A348" s="799">
        <f t="shared" si="20"/>
        <v>318</v>
      </c>
      <c r="B348" s="801">
        <f t="shared" si="19"/>
        <v>0</v>
      </c>
      <c r="C348" s="801">
        <f t="shared" si="18"/>
        <v>0</v>
      </c>
    </row>
    <row r="349" spans="1:3">
      <c r="A349" s="799">
        <f t="shared" si="20"/>
        <v>319</v>
      </c>
      <c r="B349" s="801">
        <f t="shared" si="19"/>
        <v>0</v>
      </c>
      <c r="C349" s="801">
        <f t="shared" si="18"/>
        <v>0</v>
      </c>
    </row>
    <row r="350" spans="1:3">
      <c r="A350" s="799">
        <f t="shared" si="20"/>
        <v>320</v>
      </c>
      <c r="B350" s="801">
        <f t="shared" si="19"/>
        <v>0</v>
      </c>
      <c r="C350" s="801">
        <f t="shared" ref="C350:C413" si="21">IF(B350&gt;$B$29,$B$29,B350)</f>
        <v>0</v>
      </c>
    </row>
    <row r="351" spans="1:3">
      <c r="A351" s="799">
        <f t="shared" si="20"/>
        <v>321</v>
      </c>
      <c r="B351" s="801">
        <f t="shared" ref="B351:B414" si="22">IF((B350*(1+($B$27)/12))-$B$29&lt;0,0,(B350*(1+($B$27)/12))-$B$29)</f>
        <v>0</v>
      </c>
      <c r="C351" s="801">
        <f t="shared" si="21"/>
        <v>0</v>
      </c>
    </row>
    <row r="352" spans="1:3">
      <c r="A352" s="799">
        <f t="shared" ref="A352:A415" si="23">A351+1</f>
        <v>322</v>
      </c>
      <c r="B352" s="801">
        <f t="shared" si="22"/>
        <v>0</v>
      </c>
      <c r="C352" s="801">
        <f t="shared" si="21"/>
        <v>0</v>
      </c>
    </row>
    <row r="353" spans="1:3">
      <c r="A353" s="799">
        <f t="shared" si="23"/>
        <v>323</v>
      </c>
      <c r="B353" s="801">
        <f t="shared" si="22"/>
        <v>0</v>
      </c>
      <c r="C353" s="801">
        <f t="shared" si="21"/>
        <v>0</v>
      </c>
    </row>
    <row r="354" spans="1:3">
      <c r="A354" s="804">
        <f t="shared" si="23"/>
        <v>324</v>
      </c>
      <c r="B354" s="801">
        <f t="shared" si="22"/>
        <v>0</v>
      </c>
      <c r="C354" s="801">
        <f t="shared" si="21"/>
        <v>0</v>
      </c>
    </row>
    <row r="355" spans="1:3">
      <c r="A355" s="799">
        <f t="shared" si="23"/>
        <v>325</v>
      </c>
      <c r="B355" s="801">
        <f t="shared" si="22"/>
        <v>0</v>
      </c>
      <c r="C355" s="801">
        <f t="shared" si="21"/>
        <v>0</v>
      </c>
    </row>
    <row r="356" spans="1:3">
      <c r="A356" s="799">
        <f t="shared" si="23"/>
        <v>326</v>
      </c>
      <c r="B356" s="801">
        <f t="shared" si="22"/>
        <v>0</v>
      </c>
      <c r="C356" s="801">
        <f t="shared" si="21"/>
        <v>0</v>
      </c>
    </row>
    <row r="357" spans="1:3">
      <c r="A357" s="799">
        <f t="shared" si="23"/>
        <v>327</v>
      </c>
      <c r="B357" s="801">
        <f t="shared" si="22"/>
        <v>0</v>
      </c>
      <c r="C357" s="801">
        <f t="shared" si="21"/>
        <v>0</v>
      </c>
    </row>
    <row r="358" spans="1:3">
      <c r="A358" s="799">
        <f t="shared" si="23"/>
        <v>328</v>
      </c>
      <c r="B358" s="801">
        <f t="shared" si="22"/>
        <v>0</v>
      </c>
      <c r="C358" s="801">
        <f t="shared" si="21"/>
        <v>0</v>
      </c>
    </row>
    <row r="359" spans="1:3">
      <c r="A359" s="799">
        <f t="shared" si="23"/>
        <v>329</v>
      </c>
      <c r="B359" s="801">
        <f t="shared" si="22"/>
        <v>0</v>
      </c>
      <c r="C359" s="801">
        <f t="shared" si="21"/>
        <v>0</v>
      </c>
    </row>
    <row r="360" spans="1:3">
      <c r="A360" s="799">
        <f t="shared" si="23"/>
        <v>330</v>
      </c>
      <c r="B360" s="801">
        <f t="shared" si="22"/>
        <v>0</v>
      </c>
      <c r="C360" s="801">
        <f t="shared" si="21"/>
        <v>0</v>
      </c>
    </row>
    <row r="361" spans="1:3">
      <c r="A361" s="799">
        <f t="shared" si="23"/>
        <v>331</v>
      </c>
      <c r="B361" s="801">
        <f t="shared" si="22"/>
        <v>0</v>
      </c>
      <c r="C361" s="801">
        <f t="shared" si="21"/>
        <v>0</v>
      </c>
    </row>
    <row r="362" spans="1:3">
      <c r="A362" s="799">
        <f t="shared" si="23"/>
        <v>332</v>
      </c>
      <c r="B362" s="801">
        <f t="shared" si="22"/>
        <v>0</v>
      </c>
      <c r="C362" s="801">
        <f t="shared" si="21"/>
        <v>0</v>
      </c>
    </row>
    <row r="363" spans="1:3">
      <c r="A363" s="799">
        <f t="shared" si="23"/>
        <v>333</v>
      </c>
      <c r="B363" s="801">
        <f t="shared" si="22"/>
        <v>0</v>
      </c>
      <c r="C363" s="801">
        <f t="shared" si="21"/>
        <v>0</v>
      </c>
    </row>
    <row r="364" spans="1:3">
      <c r="A364" s="799">
        <f t="shared" si="23"/>
        <v>334</v>
      </c>
      <c r="B364" s="801">
        <f t="shared" si="22"/>
        <v>0</v>
      </c>
      <c r="C364" s="801">
        <f t="shared" si="21"/>
        <v>0</v>
      </c>
    </row>
    <row r="365" spans="1:3">
      <c r="A365" s="799">
        <f t="shared" si="23"/>
        <v>335</v>
      </c>
      <c r="B365" s="801">
        <f t="shared" si="22"/>
        <v>0</v>
      </c>
      <c r="C365" s="801">
        <f t="shared" si="21"/>
        <v>0</v>
      </c>
    </row>
    <row r="366" spans="1:3">
      <c r="A366" s="804">
        <f t="shared" si="23"/>
        <v>336</v>
      </c>
      <c r="B366" s="801">
        <f t="shared" si="22"/>
        <v>0</v>
      </c>
      <c r="C366" s="801">
        <f t="shared" si="21"/>
        <v>0</v>
      </c>
    </row>
    <row r="367" spans="1:3">
      <c r="A367" s="799">
        <f t="shared" si="23"/>
        <v>337</v>
      </c>
      <c r="B367" s="801">
        <f t="shared" si="22"/>
        <v>0</v>
      </c>
      <c r="C367" s="801">
        <f t="shared" si="21"/>
        <v>0</v>
      </c>
    </row>
    <row r="368" spans="1:3">
      <c r="A368" s="799">
        <f t="shared" si="23"/>
        <v>338</v>
      </c>
      <c r="B368" s="801">
        <f t="shared" si="22"/>
        <v>0</v>
      </c>
      <c r="C368" s="801">
        <f t="shared" si="21"/>
        <v>0</v>
      </c>
    </row>
    <row r="369" spans="1:3">
      <c r="A369" s="799">
        <f t="shared" si="23"/>
        <v>339</v>
      </c>
      <c r="B369" s="801">
        <f t="shared" si="22"/>
        <v>0</v>
      </c>
      <c r="C369" s="801">
        <f t="shared" si="21"/>
        <v>0</v>
      </c>
    </row>
    <row r="370" spans="1:3">
      <c r="A370" s="799">
        <f t="shared" si="23"/>
        <v>340</v>
      </c>
      <c r="B370" s="801">
        <f t="shared" si="22"/>
        <v>0</v>
      </c>
      <c r="C370" s="801">
        <f t="shared" si="21"/>
        <v>0</v>
      </c>
    </row>
    <row r="371" spans="1:3">
      <c r="A371" s="799">
        <f t="shared" si="23"/>
        <v>341</v>
      </c>
      <c r="B371" s="801">
        <f t="shared" si="22"/>
        <v>0</v>
      </c>
      <c r="C371" s="801">
        <f t="shared" si="21"/>
        <v>0</v>
      </c>
    </row>
    <row r="372" spans="1:3">
      <c r="A372" s="799">
        <f t="shared" si="23"/>
        <v>342</v>
      </c>
      <c r="B372" s="801">
        <f t="shared" si="22"/>
        <v>0</v>
      </c>
      <c r="C372" s="801">
        <f t="shared" si="21"/>
        <v>0</v>
      </c>
    </row>
    <row r="373" spans="1:3">
      <c r="A373" s="799">
        <f t="shared" si="23"/>
        <v>343</v>
      </c>
      <c r="B373" s="801">
        <f t="shared" si="22"/>
        <v>0</v>
      </c>
      <c r="C373" s="801">
        <f t="shared" si="21"/>
        <v>0</v>
      </c>
    </row>
    <row r="374" spans="1:3">
      <c r="A374" s="799">
        <f t="shared" si="23"/>
        <v>344</v>
      </c>
      <c r="B374" s="801">
        <f t="shared" si="22"/>
        <v>0</v>
      </c>
      <c r="C374" s="801">
        <f t="shared" si="21"/>
        <v>0</v>
      </c>
    </row>
    <row r="375" spans="1:3">
      <c r="A375" s="799">
        <f t="shared" si="23"/>
        <v>345</v>
      </c>
      <c r="B375" s="801">
        <f t="shared" si="22"/>
        <v>0</v>
      </c>
      <c r="C375" s="801">
        <f t="shared" si="21"/>
        <v>0</v>
      </c>
    </row>
    <row r="376" spans="1:3">
      <c r="A376" s="799">
        <f t="shared" si="23"/>
        <v>346</v>
      </c>
      <c r="B376" s="801">
        <f t="shared" si="22"/>
        <v>0</v>
      </c>
      <c r="C376" s="801">
        <f t="shared" si="21"/>
        <v>0</v>
      </c>
    </row>
    <row r="377" spans="1:3">
      <c r="A377" s="799">
        <f t="shared" si="23"/>
        <v>347</v>
      </c>
      <c r="B377" s="801">
        <f t="shared" si="22"/>
        <v>0</v>
      </c>
      <c r="C377" s="801">
        <f t="shared" si="21"/>
        <v>0</v>
      </c>
    </row>
    <row r="378" spans="1:3">
      <c r="A378" s="804">
        <f t="shared" si="23"/>
        <v>348</v>
      </c>
      <c r="B378" s="801">
        <f t="shared" si="22"/>
        <v>0</v>
      </c>
      <c r="C378" s="801">
        <f t="shared" si="21"/>
        <v>0</v>
      </c>
    </row>
    <row r="379" spans="1:3">
      <c r="A379" s="799">
        <f t="shared" si="23"/>
        <v>349</v>
      </c>
      <c r="B379" s="801">
        <f t="shared" si="22"/>
        <v>0</v>
      </c>
      <c r="C379" s="801">
        <f t="shared" si="21"/>
        <v>0</v>
      </c>
    </row>
    <row r="380" spans="1:3">
      <c r="A380" s="799">
        <f t="shared" si="23"/>
        <v>350</v>
      </c>
      <c r="B380" s="801">
        <f t="shared" si="22"/>
        <v>0</v>
      </c>
      <c r="C380" s="801">
        <f t="shared" si="21"/>
        <v>0</v>
      </c>
    </row>
    <row r="381" spans="1:3">
      <c r="A381" s="799">
        <f t="shared" si="23"/>
        <v>351</v>
      </c>
      <c r="B381" s="801">
        <f t="shared" si="22"/>
        <v>0</v>
      </c>
      <c r="C381" s="801">
        <f t="shared" si="21"/>
        <v>0</v>
      </c>
    </row>
    <row r="382" spans="1:3">
      <c r="A382" s="799">
        <f t="shared" si="23"/>
        <v>352</v>
      </c>
      <c r="B382" s="801">
        <f t="shared" si="22"/>
        <v>0</v>
      </c>
      <c r="C382" s="801">
        <f t="shared" si="21"/>
        <v>0</v>
      </c>
    </row>
    <row r="383" spans="1:3">
      <c r="A383" s="799">
        <f t="shared" si="23"/>
        <v>353</v>
      </c>
      <c r="B383" s="801">
        <f t="shared" si="22"/>
        <v>0</v>
      </c>
      <c r="C383" s="801">
        <f t="shared" si="21"/>
        <v>0</v>
      </c>
    </row>
    <row r="384" spans="1:3">
      <c r="A384" s="799">
        <f t="shared" si="23"/>
        <v>354</v>
      </c>
      <c r="B384" s="801">
        <f t="shared" si="22"/>
        <v>0</v>
      </c>
      <c r="C384" s="801">
        <f t="shared" si="21"/>
        <v>0</v>
      </c>
    </row>
    <row r="385" spans="1:3">
      <c r="A385" s="799">
        <f t="shared" si="23"/>
        <v>355</v>
      </c>
      <c r="B385" s="801">
        <f t="shared" si="22"/>
        <v>0</v>
      </c>
      <c r="C385" s="801">
        <f t="shared" si="21"/>
        <v>0</v>
      </c>
    </row>
    <row r="386" spans="1:3">
      <c r="A386" s="799">
        <f t="shared" si="23"/>
        <v>356</v>
      </c>
      <c r="B386" s="801">
        <f t="shared" si="22"/>
        <v>0</v>
      </c>
      <c r="C386" s="801">
        <f t="shared" si="21"/>
        <v>0</v>
      </c>
    </row>
    <row r="387" spans="1:3">
      <c r="A387" s="799">
        <f t="shared" si="23"/>
        <v>357</v>
      </c>
      <c r="B387" s="801">
        <f t="shared" si="22"/>
        <v>0</v>
      </c>
      <c r="C387" s="801">
        <f t="shared" si="21"/>
        <v>0</v>
      </c>
    </row>
    <row r="388" spans="1:3">
      <c r="A388" s="799">
        <f t="shared" si="23"/>
        <v>358</v>
      </c>
      <c r="B388" s="801">
        <f t="shared" si="22"/>
        <v>0</v>
      </c>
      <c r="C388" s="801">
        <f t="shared" si="21"/>
        <v>0</v>
      </c>
    </row>
    <row r="389" spans="1:3">
      <c r="A389" s="799">
        <f t="shared" si="23"/>
        <v>359</v>
      </c>
      <c r="B389" s="801">
        <f t="shared" si="22"/>
        <v>0</v>
      </c>
      <c r="C389" s="801">
        <f t="shared" si="21"/>
        <v>0</v>
      </c>
    </row>
    <row r="390" spans="1:3">
      <c r="A390" s="804">
        <f t="shared" si="23"/>
        <v>360</v>
      </c>
      <c r="B390" s="801">
        <f t="shared" si="22"/>
        <v>0</v>
      </c>
      <c r="C390" s="801">
        <f t="shared" si="21"/>
        <v>0</v>
      </c>
    </row>
    <row r="391" spans="1:3">
      <c r="A391" s="804">
        <f t="shared" si="23"/>
        <v>361</v>
      </c>
      <c r="B391" s="801">
        <f t="shared" si="22"/>
        <v>0</v>
      </c>
      <c r="C391" s="801">
        <f t="shared" si="21"/>
        <v>0</v>
      </c>
    </row>
    <row r="392" spans="1:3">
      <c r="A392" s="804">
        <f t="shared" si="23"/>
        <v>362</v>
      </c>
      <c r="B392" s="801">
        <f t="shared" si="22"/>
        <v>0</v>
      </c>
      <c r="C392" s="801">
        <f t="shared" si="21"/>
        <v>0</v>
      </c>
    </row>
    <row r="393" spans="1:3">
      <c r="A393" s="804">
        <f t="shared" si="23"/>
        <v>363</v>
      </c>
      <c r="B393" s="801">
        <f t="shared" si="22"/>
        <v>0</v>
      </c>
      <c r="C393" s="801">
        <f t="shared" si="21"/>
        <v>0</v>
      </c>
    </row>
    <row r="394" spans="1:3">
      <c r="A394" s="804">
        <f t="shared" si="23"/>
        <v>364</v>
      </c>
      <c r="B394" s="801">
        <f t="shared" si="22"/>
        <v>0</v>
      </c>
      <c r="C394" s="801">
        <f t="shared" si="21"/>
        <v>0</v>
      </c>
    </row>
    <row r="395" spans="1:3">
      <c r="A395" s="804">
        <f t="shared" si="23"/>
        <v>365</v>
      </c>
      <c r="B395" s="801">
        <f t="shared" si="22"/>
        <v>0</v>
      </c>
      <c r="C395" s="801">
        <f t="shared" si="21"/>
        <v>0</v>
      </c>
    </row>
    <row r="396" spans="1:3">
      <c r="A396" s="804">
        <f t="shared" si="23"/>
        <v>366</v>
      </c>
      <c r="B396" s="801">
        <f t="shared" si="22"/>
        <v>0</v>
      </c>
      <c r="C396" s="801">
        <f t="shared" si="21"/>
        <v>0</v>
      </c>
    </row>
    <row r="397" spans="1:3">
      <c r="A397" s="804">
        <f t="shared" si="23"/>
        <v>367</v>
      </c>
      <c r="B397" s="801">
        <f t="shared" si="22"/>
        <v>0</v>
      </c>
      <c r="C397" s="801">
        <f t="shared" si="21"/>
        <v>0</v>
      </c>
    </row>
    <row r="398" spans="1:3">
      <c r="A398" s="804">
        <f t="shared" si="23"/>
        <v>368</v>
      </c>
      <c r="B398" s="801">
        <f t="shared" si="22"/>
        <v>0</v>
      </c>
      <c r="C398" s="801">
        <f t="shared" si="21"/>
        <v>0</v>
      </c>
    </row>
    <row r="399" spans="1:3">
      <c r="A399" s="804">
        <f t="shared" si="23"/>
        <v>369</v>
      </c>
      <c r="B399" s="801">
        <f t="shared" si="22"/>
        <v>0</v>
      </c>
      <c r="C399" s="801">
        <f t="shared" si="21"/>
        <v>0</v>
      </c>
    </row>
    <row r="400" spans="1:3">
      <c r="A400" s="804">
        <f t="shared" si="23"/>
        <v>370</v>
      </c>
      <c r="B400" s="801">
        <f t="shared" si="22"/>
        <v>0</v>
      </c>
      <c r="C400" s="801">
        <f t="shared" si="21"/>
        <v>0</v>
      </c>
    </row>
    <row r="401" spans="1:3">
      <c r="A401" s="804">
        <f t="shared" si="23"/>
        <v>371</v>
      </c>
      <c r="B401" s="801">
        <f t="shared" si="22"/>
        <v>0</v>
      </c>
      <c r="C401" s="801">
        <f t="shared" si="21"/>
        <v>0</v>
      </c>
    </row>
    <row r="402" spans="1:3">
      <c r="A402" s="804">
        <f t="shared" si="23"/>
        <v>372</v>
      </c>
      <c r="B402" s="801">
        <f t="shared" si="22"/>
        <v>0</v>
      </c>
      <c r="C402" s="801">
        <f t="shared" si="21"/>
        <v>0</v>
      </c>
    </row>
    <row r="403" spans="1:3">
      <c r="A403" s="804">
        <f t="shared" si="23"/>
        <v>373</v>
      </c>
      <c r="B403" s="801">
        <f t="shared" si="22"/>
        <v>0</v>
      </c>
      <c r="C403" s="801">
        <f t="shared" si="21"/>
        <v>0</v>
      </c>
    </row>
    <row r="404" spans="1:3">
      <c r="A404" s="804">
        <f t="shared" si="23"/>
        <v>374</v>
      </c>
      <c r="B404" s="801">
        <f t="shared" si="22"/>
        <v>0</v>
      </c>
      <c r="C404" s="801">
        <f t="shared" si="21"/>
        <v>0</v>
      </c>
    </row>
    <row r="405" spans="1:3">
      <c r="A405" s="804">
        <f t="shared" si="23"/>
        <v>375</v>
      </c>
      <c r="B405" s="801">
        <f t="shared" si="22"/>
        <v>0</v>
      </c>
      <c r="C405" s="801">
        <f t="shared" si="21"/>
        <v>0</v>
      </c>
    </row>
    <row r="406" spans="1:3">
      <c r="A406" s="804">
        <f t="shared" si="23"/>
        <v>376</v>
      </c>
      <c r="B406" s="801">
        <f t="shared" si="22"/>
        <v>0</v>
      </c>
      <c r="C406" s="801">
        <f t="shared" si="21"/>
        <v>0</v>
      </c>
    </row>
    <row r="407" spans="1:3">
      <c r="A407" s="804">
        <f t="shared" si="23"/>
        <v>377</v>
      </c>
      <c r="B407" s="801">
        <f t="shared" si="22"/>
        <v>0</v>
      </c>
      <c r="C407" s="801">
        <f t="shared" si="21"/>
        <v>0</v>
      </c>
    </row>
    <row r="408" spans="1:3">
      <c r="A408" s="804">
        <f t="shared" si="23"/>
        <v>378</v>
      </c>
      <c r="B408" s="801">
        <f t="shared" si="22"/>
        <v>0</v>
      </c>
      <c r="C408" s="801">
        <f t="shared" si="21"/>
        <v>0</v>
      </c>
    </row>
    <row r="409" spans="1:3">
      <c r="A409" s="804">
        <f t="shared" si="23"/>
        <v>379</v>
      </c>
      <c r="B409" s="801">
        <f t="shared" si="22"/>
        <v>0</v>
      </c>
      <c r="C409" s="801">
        <f t="shared" si="21"/>
        <v>0</v>
      </c>
    </row>
    <row r="410" spans="1:3">
      <c r="A410" s="804">
        <f t="shared" si="23"/>
        <v>380</v>
      </c>
      <c r="B410" s="801">
        <f t="shared" si="22"/>
        <v>0</v>
      </c>
      <c r="C410" s="801">
        <f t="shared" si="21"/>
        <v>0</v>
      </c>
    </row>
    <row r="411" spans="1:3">
      <c r="A411" s="804">
        <f t="shared" si="23"/>
        <v>381</v>
      </c>
      <c r="B411" s="801">
        <f t="shared" si="22"/>
        <v>0</v>
      </c>
      <c r="C411" s="801">
        <f t="shared" si="21"/>
        <v>0</v>
      </c>
    </row>
    <row r="412" spans="1:3">
      <c r="A412" s="804">
        <f t="shared" si="23"/>
        <v>382</v>
      </c>
      <c r="B412" s="801">
        <f t="shared" si="22"/>
        <v>0</v>
      </c>
      <c r="C412" s="801">
        <f t="shared" si="21"/>
        <v>0</v>
      </c>
    </row>
    <row r="413" spans="1:3">
      <c r="A413" s="804">
        <f t="shared" si="23"/>
        <v>383</v>
      </c>
      <c r="B413" s="801">
        <f t="shared" si="22"/>
        <v>0</v>
      </c>
      <c r="C413" s="801">
        <f t="shared" si="21"/>
        <v>0</v>
      </c>
    </row>
    <row r="414" spans="1:3">
      <c r="A414" s="804">
        <f t="shared" si="23"/>
        <v>384</v>
      </c>
      <c r="B414" s="801">
        <f t="shared" si="22"/>
        <v>0</v>
      </c>
      <c r="C414" s="801">
        <f t="shared" ref="C414:C477" si="24">IF(B414&gt;$B$29,$B$29,B414)</f>
        <v>0</v>
      </c>
    </row>
    <row r="415" spans="1:3">
      <c r="A415" s="804">
        <f t="shared" si="23"/>
        <v>385</v>
      </c>
      <c r="B415" s="801">
        <f t="shared" ref="B415:B478" si="25">IF((B414*(1+($B$27)/12))-$B$29&lt;0,0,(B414*(1+($B$27)/12))-$B$29)</f>
        <v>0</v>
      </c>
      <c r="C415" s="801">
        <f t="shared" si="24"/>
        <v>0</v>
      </c>
    </row>
    <row r="416" spans="1:3">
      <c r="A416" s="804">
        <f t="shared" ref="A416:A479" si="26">A415+1</f>
        <v>386</v>
      </c>
      <c r="B416" s="801">
        <f t="shared" si="25"/>
        <v>0</v>
      </c>
      <c r="C416" s="801">
        <f t="shared" si="24"/>
        <v>0</v>
      </c>
    </row>
    <row r="417" spans="1:3">
      <c r="A417" s="804">
        <f t="shared" si="26"/>
        <v>387</v>
      </c>
      <c r="B417" s="801">
        <f t="shared" si="25"/>
        <v>0</v>
      </c>
      <c r="C417" s="801">
        <f t="shared" si="24"/>
        <v>0</v>
      </c>
    </row>
    <row r="418" spans="1:3">
      <c r="A418" s="804">
        <f t="shared" si="26"/>
        <v>388</v>
      </c>
      <c r="B418" s="801">
        <f t="shared" si="25"/>
        <v>0</v>
      </c>
      <c r="C418" s="801">
        <f t="shared" si="24"/>
        <v>0</v>
      </c>
    </row>
    <row r="419" spans="1:3">
      <c r="A419" s="804">
        <f t="shared" si="26"/>
        <v>389</v>
      </c>
      <c r="B419" s="801">
        <f t="shared" si="25"/>
        <v>0</v>
      </c>
      <c r="C419" s="801">
        <f t="shared" si="24"/>
        <v>0</v>
      </c>
    </row>
    <row r="420" spans="1:3">
      <c r="A420" s="804">
        <f t="shared" si="26"/>
        <v>390</v>
      </c>
      <c r="B420" s="801">
        <f t="shared" si="25"/>
        <v>0</v>
      </c>
      <c r="C420" s="801">
        <f t="shared" si="24"/>
        <v>0</v>
      </c>
    </row>
    <row r="421" spans="1:3">
      <c r="A421" s="804">
        <f t="shared" si="26"/>
        <v>391</v>
      </c>
      <c r="B421" s="801">
        <f t="shared" si="25"/>
        <v>0</v>
      </c>
      <c r="C421" s="801">
        <f t="shared" si="24"/>
        <v>0</v>
      </c>
    </row>
    <row r="422" spans="1:3">
      <c r="A422" s="804">
        <f t="shared" si="26"/>
        <v>392</v>
      </c>
      <c r="B422" s="801">
        <f t="shared" si="25"/>
        <v>0</v>
      </c>
      <c r="C422" s="801">
        <f t="shared" si="24"/>
        <v>0</v>
      </c>
    </row>
    <row r="423" spans="1:3">
      <c r="A423" s="804">
        <f t="shared" si="26"/>
        <v>393</v>
      </c>
      <c r="B423" s="801">
        <f t="shared" si="25"/>
        <v>0</v>
      </c>
      <c r="C423" s="801">
        <f t="shared" si="24"/>
        <v>0</v>
      </c>
    </row>
    <row r="424" spans="1:3">
      <c r="A424" s="804">
        <f t="shared" si="26"/>
        <v>394</v>
      </c>
      <c r="B424" s="801">
        <f t="shared" si="25"/>
        <v>0</v>
      </c>
      <c r="C424" s="801">
        <f t="shared" si="24"/>
        <v>0</v>
      </c>
    </row>
    <row r="425" spans="1:3">
      <c r="A425" s="804">
        <f t="shared" si="26"/>
        <v>395</v>
      </c>
      <c r="B425" s="801">
        <f t="shared" si="25"/>
        <v>0</v>
      </c>
      <c r="C425" s="801">
        <f t="shared" si="24"/>
        <v>0</v>
      </c>
    </row>
    <row r="426" spans="1:3">
      <c r="A426" s="804">
        <f t="shared" si="26"/>
        <v>396</v>
      </c>
      <c r="B426" s="801">
        <f t="shared" si="25"/>
        <v>0</v>
      </c>
      <c r="C426" s="801">
        <f t="shared" si="24"/>
        <v>0</v>
      </c>
    </row>
    <row r="427" spans="1:3">
      <c r="A427" s="804">
        <f t="shared" si="26"/>
        <v>397</v>
      </c>
      <c r="B427" s="801">
        <f t="shared" si="25"/>
        <v>0</v>
      </c>
      <c r="C427" s="801">
        <f t="shared" si="24"/>
        <v>0</v>
      </c>
    </row>
    <row r="428" spans="1:3">
      <c r="A428" s="804">
        <f t="shared" si="26"/>
        <v>398</v>
      </c>
      <c r="B428" s="801">
        <f t="shared" si="25"/>
        <v>0</v>
      </c>
      <c r="C428" s="801">
        <f t="shared" si="24"/>
        <v>0</v>
      </c>
    </row>
    <row r="429" spans="1:3">
      <c r="A429" s="804">
        <f t="shared" si="26"/>
        <v>399</v>
      </c>
      <c r="B429" s="801">
        <f t="shared" si="25"/>
        <v>0</v>
      </c>
      <c r="C429" s="801">
        <f t="shared" si="24"/>
        <v>0</v>
      </c>
    </row>
    <row r="430" spans="1:3">
      <c r="A430" s="804">
        <f t="shared" si="26"/>
        <v>400</v>
      </c>
      <c r="B430" s="801">
        <f t="shared" si="25"/>
        <v>0</v>
      </c>
      <c r="C430" s="801">
        <f t="shared" si="24"/>
        <v>0</v>
      </c>
    </row>
    <row r="431" spans="1:3">
      <c r="A431" s="804">
        <f t="shared" si="26"/>
        <v>401</v>
      </c>
      <c r="B431" s="801">
        <f t="shared" si="25"/>
        <v>0</v>
      </c>
      <c r="C431" s="801">
        <f t="shared" si="24"/>
        <v>0</v>
      </c>
    </row>
    <row r="432" spans="1:3">
      <c r="A432" s="804">
        <f t="shared" si="26"/>
        <v>402</v>
      </c>
      <c r="B432" s="801">
        <f t="shared" si="25"/>
        <v>0</v>
      </c>
      <c r="C432" s="801">
        <f t="shared" si="24"/>
        <v>0</v>
      </c>
    </row>
    <row r="433" spans="1:3">
      <c r="A433" s="804">
        <f t="shared" si="26"/>
        <v>403</v>
      </c>
      <c r="B433" s="801">
        <f t="shared" si="25"/>
        <v>0</v>
      </c>
      <c r="C433" s="801">
        <f t="shared" si="24"/>
        <v>0</v>
      </c>
    </row>
    <row r="434" spans="1:3">
      <c r="A434" s="804">
        <f t="shared" si="26"/>
        <v>404</v>
      </c>
      <c r="B434" s="801">
        <f t="shared" si="25"/>
        <v>0</v>
      </c>
      <c r="C434" s="801">
        <f t="shared" si="24"/>
        <v>0</v>
      </c>
    </row>
    <row r="435" spans="1:3">
      <c r="A435" s="804">
        <f t="shared" si="26"/>
        <v>405</v>
      </c>
      <c r="B435" s="801">
        <f t="shared" si="25"/>
        <v>0</v>
      </c>
      <c r="C435" s="801">
        <f t="shared" si="24"/>
        <v>0</v>
      </c>
    </row>
    <row r="436" spans="1:3">
      <c r="A436" s="804">
        <f t="shared" si="26"/>
        <v>406</v>
      </c>
      <c r="B436" s="801">
        <f t="shared" si="25"/>
        <v>0</v>
      </c>
      <c r="C436" s="801">
        <f t="shared" si="24"/>
        <v>0</v>
      </c>
    </row>
    <row r="437" spans="1:3">
      <c r="A437" s="804">
        <f t="shared" si="26"/>
        <v>407</v>
      </c>
      <c r="B437" s="801">
        <f t="shared" si="25"/>
        <v>0</v>
      </c>
      <c r="C437" s="801">
        <f t="shared" si="24"/>
        <v>0</v>
      </c>
    </row>
    <row r="438" spans="1:3">
      <c r="A438" s="804">
        <f t="shared" si="26"/>
        <v>408</v>
      </c>
      <c r="B438" s="801">
        <f t="shared" si="25"/>
        <v>0</v>
      </c>
      <c r="C438" s="801">
        <f t="shared" si="24"/>
        <v>0</v>
      </c>
    </row>
    <row r="439" spans="1:3">
      <c r="A439" s="804">
        <f t="shared" si="26"/>
        <v>409</v>
      </c>
      <c r="B439" s="801">
        <f t="shared" si="25"/>
        <v>0</v>
      </c>
      <c r="C439" s="801">
        <f t="shared" si="24"/>
        <v>0</v>
      </c>
    </row>
    <row r="440" spans="1:3">
      <c r="A440" s="804">
        <f t="shared" si="26"/>
        <v>410</v>
      </c>
      <c r="B440" s="801">
        <f t="shared" si="25"/>
        <v>0</v>
      </c>
      <c r="C440" s="801">
        <f t="shared" si="24"/>
        <v>0</v>
      </c>
    </row>
    <row r="441" spans="1:3">
      <c r="A441" s="804">
        <f t="shared" si="26"/>
        <v>411</v>
      </c>
      <c r="B441" s="801">
        <f t="shared" si="25"/>
        <v>0</v>
      </c>
      <c r="C441" s="801">
        <f t="shared" si="24"/>
        <v>0</v>
      </c>
    </row>
    <row r="442" spans="1:3">
      <c r="A442" s="804">
        <f t="shared" si="26"/>
        <v>412</v>
      </c>
      <c r="B442" s="801">
        <f t="shared" si="25"/>
        <v>0</v>
      </c>
      <c r="C442" s="801">
        <f t="shared" si="24"/>
        <v>0</v>
      </c>
    </row>
    <row r="443" spans="1:3">
      <c r="A443" s="804">
        <f t="shared" si="26"/>
        <v>413</v>
      </c>
      <c r="B443" s="801">
        <f t="shared" si="25"/>
        <v>0</v>
      </c>
      <c r="C443" s="801">
        <f t="shared" si="24"/>
        <v>0</v>
      </c>
    </row>
    <row r="444" spans="1:3">
      <c r="A444" s="804">
        <f t="shared" si="26"/>
        <v>414</v>
      </c>
      <c r="B444" s="801">
        <f t="shared" si="25"/>
        <v>0</v>
      </c>
      <c r="C444" s="801">
        <f t="shared" si="24"/>
        <v>0</v>
      </c>
    </row>
    <row r="445" spans="1:3">
      <c r="A445" s="804">
        <f t="shared" si="26"/>
        <v>415</v>
      </c>
      <c r="B445" s="801">
        <f t="shared" si="25"/>
        <v>0</v>
      </c>
      <c r="C445" s="801">
        <f t="shared" si="24"/>
        <v>0</v>
      </c>
    </row>
    <row r="446" spans="1:3">
      <c r="A446" s="804">
        <f t="shared" si="26"/>
        <v>416</v>
      </c>
      <c r="B446" s="801">
        <f t="shared" si="25"/>
        <v>0</v>
      </c>
      <c r="C446" s="801">
        <f t="shared" si="24"/>
        <v>0</v>
      </c>
    </row>
    <row r="447" spans="1:3">
      <c r="A447" s="804">
        <f t="shared" si="26"/>
        <v>417</v>
      </c>
      <c r="B447" s="801">
        <f t="shared" si="25"/>
        <v>0</v>
      </c>
      <c r="C447" s="801">
        <f t="shared" si="24"/>
        <v>0</v>
      </c>
    </row>
    <row r="448" spans="1:3">
      <c r="A448" s="804">
        <f t="shared" si="26"/>
        <v>418</v>
      </c>
      <c r="B448" s="801">
        <f t="shared" si="25"/>
        <v>0</v>
      </c>
      <c r="C448" s="801">
        <f t="shared" si="24"/>
        <v>0</v>
      </c>
    </row>
    <row r="449" spans="1:3">
      <c r="A449" s="804">
        <f t="shared" si="26"/>
        <v>419</v>
      </c>
      <c r="B449" s="801">
        <f t="shared" si="25"/>
        <v>0</v>
      </c>
      <c r="C449" s="801">
        <f t="shared" si="24"/>
        <v>0</v>
      </c>
    </row>
    <row r="450" spans="1:3">
      <c r="A450" s="804">
        <f t="shared" si="26"/>
        <v>420</v>
      </c>
      <c r="B450" s="801">
        <f t="shared" si="25"/>
        <v>0</v>
      </c>
      <c r="C450" s="801">
        <f t="shared" si="24"/>
        <v>0</v>
      </c>
    </row>
    <row r="451" spans="1:3">
      <c r="A451" s="804">
        <f t="shared" si="26"/>
        <v>421</v>
      </c>
      <c r="B451" s="801">
        <f t="shared" si="25"/>
        <v>0</v>
      </c>
      <c r="C451" s="801">
        <f t="shared" si="24"/>
        <v>0</v>
      </c>
    </row>
    <row r="452" spans="1:3">
      <c r="A452" s="804">
        <f t="shared" si="26"/>
        <v>422</v>
      </c>
      <c r="B452" s="801">
        <f t="shared" si="25"/>
        <v>0</v>
      </c>
      <c r="C452" s="801">
        <f t="shared" si="24"/>
        <v>0</v>
      </c>
    </row>
    <row r="453" spans="1:3">
      <c r="A453" s="804">
        <f t="shared" si="26"/>
        <v>423</v>
      </c>
      <c r="B453" s="801">
        <f t="shared" si="25"/>
        <v>0</v>
      </c>
      <c r="C453" s="801">
        <f t="shared" si="24"/>
        <v>0</v>
      </c>
    </row>
    <row r="454" spans="1:3">
      <c r="A454" s="804">
        <f t="shared" si="26"/>
        <v>424</v>
      </c>
      <c r="B454" s="801">
        <f t="shared" si="25"/>
        <v>0</v>
      </c>
      <c r="C454" s="801">
        <f t="shared" si="24"/>
        <v>0</v>
      </c>
    </row>
    <row r="455" spans="1:3">
      <c r="A455" s="804">
        <f t="shared" si="26"/>
        <v>425</v>
      </c>
      <c r="B455" s="801">
        <f t="shared" si="25"/>
        <v>0</v>
      </c>
      <c r="C455" s="801">
        <f t="shared" si="24"/>
        <v>0</v>
      </c>
    </row>
    <row r="456" spans="1:3">
      <c r="A456" s="804">
        <f t="shared" si="26"/>
        <v>426</v>
      </c>
      <c r="B456" s="801">
        <f t="shared" si="25"/>
        <v>0</v>
      </c>
      <c r="C456" s="801">
        <f t="shared" si="24"/>
        <v>0</v>
      </c>
    </row>
    <row r="457" spans="1:3">
      <c r="A457" s="804">
        <f t="shared" si="26"/>
        <v>427</v>
      </c>
      <c r="B457" s="801">
        <f t="shared" si="25"/>
        <v>0</v>
      </c>
      <c r="C457" s="801">
        <f t="shared" si="24"/>
        <v>0</v>
      </c>
    </row>
    <row r="458" spans="1:3">
      <c r="A458" s="804">
        <f t="shared" si="26"/>
        <v>428</v>
      </c>
      <c r="B458" s="801">
        <f t="shared" si="25"/>
        <v>0</v>
      </c>
      <c r="C458" s="801">
        <f t="shared" si="24"/>
        <v>0</v>
      </c>
    </row>
    <row r="459" spans="1:3">
      <c r="A459" s="804">
        <f t="shared" si="26"/>
        <v>429</v>
      </c>
      <c r="B459" s="801">
        <f t="shared" si="25"/>
        <v>0</v>
      </c>
      <c r="C459" s="801">
        <f t="shared" si="24"/>
        <v>0</v>
      </c>
    </row>
    <row r="460" spans="1:3">
      <c r="A460" s="804">
        <f t="shared" si="26"/>
        <v>430</v>
      </c>
      <c r="B460" s="801">
        <f t="shared" si="25"/>
        <v>0</v>
      </c>
      <c r="C460" s="801">
        <f t="shared" si="24"/>
        <v>0</v>
      </c>
    </row>
    <row r="461" spans="1:3">
      <c r="A461" s="804">
        <f t="shared" si="26"/>
        <v>431</v>
      </c>
      <c r="B461" s="801">
        <f t="shared" si="25"/>
        <v>0</v>
      </c>
      <c r="C461" s="801">
        <f t="shared" si="24"/>
        <v>0</v>
      </c>
    </row>
    <row r="462" spans="1:3">
      <c r="A462" s="804">
        <f t="shared" si="26"/>
        <v>432</v>
      </c>
      <c r="B462" s="801">
        <f t="shared" si="25"/>
        <v>0</v>
      </c>
      <c r="C462" s="801">
        <f t="shared" si="24"/>
        <v>0</v>
      </c>
    </row>
    <row r="463" spans="1:3">
      <c r="A463" s="804">
        <f t="shared" si="26"/>
        <v>433</v>
      </c>
      <c r="B463" s="801">
        <f t="shared" si="25"/>
        <v>0</v>
      </c>
      <c r="C463" s="801">
        <f t="shared" si="24"/>
        <v>0</v>
      </c>
    </row>
    <row r="464" spans="1:3">
      <c r="A464" s="804">
        <f t="shared" si="26"/>
        <v>434</v>
      </c>
      <c r="B464" s="801">
        <f t="shared" si="25"/>
        <v>0</v>
      </c>
      <c r="C464" s="801">
        <f t="shared" si="24"/>
        <v>0</v>
      </c>
    </row>
    <row r="465" spans="1:3">
      <c r="A465" s="804">
        <f t="shared" si="26"/>
        <v>435</v>
      </c>
      <c r="B465" s="801">
        <f t="shared" si="25"/>
        <v>0</v>
      </c>
      <c r="C465" s="801">
        <f t="shared" si="24"/>
        <v>0</v>
      </c>
    </row>
    <row r="466" spans="1:3">
      <c r="A466" s="804">
        <f t="shared" si="26"/>
        <v>436</v>
      </c>
      <c r="B466" s="801">
        <f t="shared" si="25"/>
        <v>0</v>
      </c>
      <c r="C466" s="801">
        <f t="shared" si="24"/>
        <v>0</v>
      </c>
    </row>
    <row r="467" spans="1:3">
      <c r="A467" s="804">
        <f t="shared" si="26"/>
        <v>437</v>
      </c>
      <c r="B467" s="801">
        <f t="shared" si="25"/>
        <v>0</v>
      </c>
      <c r="C467" s="801">
        <f t="shared" si="24"/>
        <v>0</v>
      </c>
    </row>
    <row r="468" spans="1:3">
      <c r="A468" s="804">
        <f t="shared" si="26"/>
        <v>438</v>
      </c>
      <c r="B468" s="801">
        <f t="shared" si="25"/>
        <v>0</v>
      </c>
      <c r="C468" s="801">
        <f t="shared" si="24"/>
        <v>0</v>
      </c>
    </row>
    <row r="469" spans="1:3">
      <c r="A469" s="804">
        <f t="shared" si="26"/>
        <v>439</v>
      </c>
      <c r="B469" s="801">
        <f t="shared" si="25"/>
        <v>0</v>
      </c>
      <c r="C469" s="801">
        <f t="shared" si="24"/>
        <v>0</v>
      </c>
    </row>
    <row r="470" spans="1:3">
      <c r="A470" s="804">
        <f t="shared" si="26"/>
        <v>440</v>
      </c>
      <c r="B470" s="801">
        <f t="shared" si="25"/>
        <v>0</v>
      </c>
      <c r="C470" s="801">
        <f t="shared" si="24"/>
        <v>0</v>
      </c>
    </row>
    <row r="471" spans="1:3">
      <c r="A471" s="804">
        <f t="shared" si="26"/>
        <v>441</v>
      </c>
      <c r="B471" s="801">
        <f t="shared" si="25"/>
        <v>0</v>
      </c>
      <c r="C471" s="801">
        <f t="shared" si="24"/>
        <v>0</v>
      </c>
    </row>
    <row r="472" spans="1:3">
      <c r="A472" s="804">
        <f t="shared" si="26"/>
        <v>442</v>
      </c>
      <c r="B472" s="801">
        <f t="shared" si="25"/>
        <v>0</v>
      </c>
      <c r="C472" s="801">
        <f t="shared" si="24"/>
        <v>0</v>
      </c>
    </row>
    <row r="473" spans="1:3">
      <c r="A473" s="804">
        <f t="shared" si="26"/>
        <v>443</v>
      </c>
      <c r="B473" s="801">
        <f t="shared" si="25"/>
        <v>0</v>
      </c>
      <c r="C473" s="801">
        <f t="shared" si="24"/>
        <v>0</v>
      </c>
    </row>
    <row r="474" spans="1:3">
      <c r="A474" s="804">
        <f t="shared" si="26"/>
        <v>444</v>
      </c>
      <c r="B474" s="801">
        <f t="shared" si="25"/>
        <v>0</v>
      </c>
      <c r="C474" s="801">
        <f t="shared" si="24"/>
        <v>0</v>
      </c>
    </row>
    <row r="475" spans="1:3">
      <c r="A475" s="804">
        <f t="shared" si="26"/>
        <v>445</v>
      </c>
      <c r="B475" s="801">
        <f t="shared" si="25"/>
        <v>0</v>
      </c>
      <c r="C475" s="801">
        <f t="shared" si="24"/>
        <v>0</v>
      </c>
    </row>
    <row r="476" spans="1:3">
      <c r="A476" s="804">
        <f t="shared" si="26"/>
        <v>446</v>
      </c>
      <c r="B476" s="801">
        <f t="shared" si="25"/>
        <v>0</v>
      </c>
      <c r="C476" s="801">
        <f t="shared" si="24"/>
        <v>0</v>
      </c>
    </row>
    <row r="477" spans="1:3">
      <c r="A477" s="804">
        <f t="shared" si="26"/>
        <v>447</v>
      </c>
      <c r="B477" s="801">
        <f t="shared" si="25"/>
        <v>0</v>
      </c>
      <c r="C477" s="801">
        <f t="shared" si="24"/>
        <v>0</v>
      </c>
    </row>
    <row r="478" spans="1:3">
      <c r="A478" s="804">
        <f t="shared" si="26"/>
        <v>448</v>
      </c>
      <c r="B478" s="801">
        <f t="shared" si="25"/>
        <v>0</v>
      </c>
      <c r="C478" s="801">
        <f t="shared" ref="C478:C541" si="27">IF(B478&gt;$B$29,$B$29,B478)</f>
        <v>0</v>
      </c>
    </row>
    <row r="479" spans="1:3">
      <c r="A479" s="804">
        <f t="shared" si="26"/>
        <v>449</v>
      </c>
      <c r="B479" s="801">
        <f t="shared" ref="B479:B542" si="28">IF((B478*(1+($B$27)/12))-$B$29&lt;0,0,(B478*(1+($B$27)/12))-$B$29)</f>
        <v>0</v>
      </c>
      <c r="C479" s="801">
        <f t="shared" si="27"/>
        <v>0</v>
      </c>
    </row>
    <row r="480" spans="1:3">
      <c r="A480" s="804">
        <f t="shared" ref="A480:A543" si="29">A479+1</f>
        <v>450</v>
      </c>
      <c r="B480" s="801">
        <f t="shared" si="28"/>
        <v>0</v>
      </c>
      <c r="C480" s="801">
        <f t="shared" si="27"/>
        <v>0</v>
      </c>
    </row>
    <row r="481" spans="1:3">
      <c r="A481" s="804">
        <f t="shared" si="29"/>
        <v>451</v>
      </c>
      <c r="B481" s="801">
        <f t="shared" si="28"/>
        <v>0</v>
      </c>
      <c r="C481" s="801">
        <f t="shared" si="27"/>
        <v>0</v>
      </c>
    </row>
    <row r="482" spans="1:3">
      <c r="A482" s="804">
        <f t="shared" si="29"/>
        <v>452</v>
      </c>
      <c r="B482" s="801">
        <f t="shared" si="28"/>
        <v>0</v>
      </c>
      <c r="C482" s="801">
        <f t="shared" si="27"/>
        <v>0</v>
      </c>
    </row>
    <row r="483" spans="1:3">
      <c r="A483" s="804">
        <f t="shared" si="29"/>
        <v>453</v>
      </c>
      <c r="B483" s="801">
        <f t="shared" si="28"/>
        <v>0</v>
      </c>
      <c r="C483" s="801">
        <f t="shared" si="27"/>
        <v>0</v>
      </c>
    </row>
    <row r="484" spans="1:3">
      <c r="A484" s="804">
        <f t="shared" si="29"/>
        <v>454</v>
      </c>
      <c r="B484" s="801">
        <f t="shared" si="28"/>
        <v>0</v>
      </c>
      <c r="C484" s="801">
        <f t="shared" si="27"/>
        <v>0</v>
      </c>
    </row>
    <row r="485" spans="1:3">
      <c r="A485" s="804">
        <f t="shared" si="29"/>
        <v>455</v>
      </c>
      <c r="B485" s="801">
        <f t="shared" si="28"/>
        <v>0</v>
      </c>
      <c r="C485" s="801">
        <f t="shared" si="27"/>
        <v>0</v>
      </c>
    </row>
    <row r="486" spans="1:3">
      <c r="A486" s="804">
        <f t="shared" si="29"/>
        <v>456</v>
      </c>
      <c r="B486" s="801">
        <f t="shared" si="28"/>
        <v>0</v>
      </c>
      <c r="C486" s="801">
        <f t="shared" si="27"/>
        <v>0</v>
      </c>
    </row>
    <row r="487" spans="1:3">
      <c r="A487" s="804">
        <f t="shared" si="29"/>
        <v>457</v>
      </c>
      <c r="B487" s="801">
        <f t="shared" si="28"/>
        <v>0</v>
      </c>
      <c r="C487" s="801">
        <f t="shared" si="27"/>
        <v>0</v>
      </c>
    </row>
    <row r="488" spans="1:3">
      <c r="A488" s="804">
        <f t="shared" si="29"/>
        <v>458</v>
      </c>
      <c r="B488" s="801">
        <f t="shared" si="28"/>
        <v>0</v>
      </c>
      <c r="C488" s="801">
        <f t="shared" si="27"/>
        <v>0</v>
      </c>
    </row>
    <row r="489" spans="1:3">
      <c r="A489" s="804">
        <f t="shared" si="29"/>
        <v>459</v>
      </c>
      <c r="B489" s="801">
        <f t="shared" si="28"/>
        <v>0</v>
      </c>
      <c r="C489" s="801">
        <f t="shared" si="27"/>
        <v>0</v>
      </c>
    </row>
    <row r="490" spans="1:3">
      <c r="A490" s="804">
        <f t="shared" si="29"/>
        <v>460</v>
      </c>
      <c r="B490" s="801">
        <f t="shared" si="28"/>
        <v>0</v>
      </c>
      <c r="C490" s="801">
        <f t="shared" si="27"/>
        <v>0</v>
      </c>
    </row>
    <row r="491" spans="1:3">
      <c r="A491" s="804">
        <f t="shared" si="29"/>
        <v>461</v>
      </c>
      <c r="B491" s="801">
        <f t="shared" si="28"/>
        <v>0</v>
      </c>
      <c r="C491" s="801">
        <f t="shared" si="27"/>
        <v>0</v>
      </c>
    </row>
    <row r="492" spans="1:3">
      <c r="A492" s="804">
        <f t="shared" si="29"/>
        <v>462</v>
      </c>
      <c r="B492" s="801">
        <f t="shared" si="28"/>
        <v>0</v>
      </c>
      <c r="C492" s="801">
        <f t="shared" si="27"/>
        <v>0</v>
      </c>
    </row>
    <row r="493" spans="1:3">
      <c r="A493" s="804">
        <f t="shared" si="29"/>
        <v>463</v>
      </c>
      <c r="B493" s="801">
        <f t="shared" si="28"/>
        <v>0</v>
      </c>
      <c r="C493" s="801">
        <f t="shared" si="27"/>
        <v>0</v>
      </c>
    </row>
    <row r="494" spans="1:3">
      <c r="A494" s="804">
        <f t="shared" si="29"/>
        <v>464</v>
      </c>
      <c r="B494" s="801">
        <f t="shared" si="28"/>
        <v>0</v>
      </c>
      <c r="C494" s="801">
        <f t="shared" si="27"/>
        <v>0</v>
      </c>
    </row>
    <row r="495" spans="1:3">
      <c r="A495" s="804">
        <f t="shared" si="29"/>
        <v>465</v>
      </c>
      <c r="B495" s="801">
        <f t="shared" si="28"/>
        <v>0</v>
      </c>
      <c r="C495" s="801">
        <f t="shared" si="27"/>
        <v>0</v>
      </c>
    </row>
    <row r="496" spans="1:3">
      <c r="A496" s="804">
        <f t="shared" si="29"/>
        <v>466</v>
      </c>
      <c r="B496" s="801">
        <f t="shared" si="28"/>
        <v>0</v>
      </c>
      <c r="C496" s="801">
        <f t="shared" si="27"/>
        <v>0</v>
      </c>
    </row>
    <row r="497" spans="1:3">
      <c r="A497" s="804">
        <f t="shared" si="29"/>
        <v>467</v>
      </c>
      <c r="B497" s="801">
        <f t="shared" si="28"/>
        <v>0</v>
      </c>
      <c r="C497" s="801">
        <f t="shared" si="27"/>
        <v>0</v>
      </c>
    </row>
    <row r="498" spans="1:3">
      <c r="A498" s="804">
        <f t="shared" si="29"/>
        <v>468</v>
      </c>
      <c r="B498" s="801">
        <f t="shared" si="28"/>
        <v>0</v>
      </c>
      <c r="C498" s="801">
        <f t="shared" si="27"/>
        <v>0</v>
      </c>
    </row>
    <row r="499" spans="1:3">
      <c r="A499" s="804">
        <f t="shared" si="29"/>
        <v>469</v>
      </c>
      <c r="B499" s="801">
        <f t="shared" si="28"/>
        <v>0</v>
      </c>
      <c r="C499" s="801">
        <f t="shared" si="27"/>
        <v>0</v>
      </c>
    </row>
    <row r="500" spans="1:3">
      <c r="A500" s="804">
        <f t="shared" si="29"/>
        <v>470</v>
      </c>
      <c r="B500" s="801">
        <f t="shared" si="28"/>
        <v>0</v>
      </c>
      <c r="C500" s="801">
        <f t="shared" si="27"/>
        <v>0</v>
      </c>
    </row>
    <row r="501" spans="1:3">
      <c r="A501" s="804">
        <f t="shared" si="29"/>
        <v>471</v>
      </c>
      <c r="B501" s="801">
        <f t="shared" si="28"/>
        <v>0</v>
      </c>
      <c r="C501" s="801">
        <f t="shared" si="27"/>
        <v>0</v>
      </c>
    </row>
    <row r="502" spans="1:3">
      <c r="A502" s="804">
        <f t="shared" si="29"/>
        <v>472</v>
      </c>
      <c r="B502" s="801">
        <f t="shared" si="28"/>
        <v>0</v>
      </c>
      <c r="C502" s="801">
        <f t="shared" si="27"/>
        <v>0</v>
      </c>
    </row>
    <row r="503" spans="1:3">
      <c r="A503" s="804">
        <f t="shared" si="29"/>
        <v>473</v>
      </c>
      <c r="B503" s="801">
        <f t="shared" si="28"/>
        <v>0</v>
      </c>
      <c r="C503" s="801">
        <f t="shared" si="27"/>
        <v>0</v>
      </c>
    </row>
    <row r="504" spans="1:3">
      <c r="A504" s="804">
        <f t="shared" si="29"/>
        <v>474</v>
      </c>
      <c r="B504" s="801">
        <f t="shared" si="28"/>
        <v>0</v>
      </c>
      <c r="C504" s="801">
        <f t="shared" si="27"/>
        <v>0</v>
      </c>
    </row>
    <row r="505" spans="1:3">
      <c r="A505" s="804">
        <f t="shared" si="29"/>
        <v>475</v>
      </c>
      <c r="B505" s="801">
        <f t="shared" si="28"/>
        <v>0</v>
      </c>
      <c r="C505" s="801">
        <f t="shared" si="27"/>
        <v>0</v>
      </c>
    </row>
    <row r="506" spans="1:3">
      <c r="A506" s="804">
        <f t="shared" si="29"/>
        <v>476</v>
      </c>
      <c r="B506" s="801">
        <f t="shared" si="28"/>
        <v>0</v>
      </c>
      <c r="C506" s="801">
        <f t="shared" si="27"/>
        <v>0</v>
      </c>
    </row>
    <row r="507" spans="1:3">
      <c r="A507" s="804">
        <f t="shared" si="29"/>
        <v>477</v>
      </c>
      <c r="B507" s="801">
        <f t="shared" si="28"/>
        <v>0</v>
      </c>
      <c r="C507" s="801">
        <f t="shared" si="27"/>
        <v>0</v>
      </c>
    </row>
    <row r="508" spans="1:3">
      <c r="A508" s="804">
        <f t="shared" si="29"/>
        <v>478</v>
      </c>
      <c r="B508" s="801">
        <f t="shared" si="28"/>
        <v>0</v>
      </c>
      <c r="C508" s="801">
        <f t="shared" si="27"/>
        <v>0</v>
      </c>
    </row>
    <row r="509" spans="1:3">
      <c r="A509" s="804">
        <f t="shared" si="29"/>
        <v>479</v>
      </c>
      <c r="B509" s="801">
        <f t="shared" si="28"/>
        <v>0</v>
      </c>
      <c r="C509" s="801">
        <f t="shared" si="27"/>
        <v>0</v>
      </c>
    </row>
    <row r="510" spans="1:3">
      <c r="A510" s="804">
        <f t="shared" si="29"/>
        <v>480</v>
      </c>
      <c r="B510" s="801">
        <f t="shared" si="28"/>
        <v>0</v>
      </c>
      <c r="C510" s="801">
        <f t="shared" si="27"/>
        <v>0</v>
      </c>
    </row>
    <row r="511" spans="1:3">
      <c r="A511" s="804">
        <f t="shared" si="29"/>
        <v>481</v>
      </c>
      <c r="B511" s="801">
        <f t="shared" si="28"/>
        <v>0</v>
      </c>
      <c r="C511" s="801">
        <f t="shared" si="27"/>
        <v>0</v>
      </c>
    </row>
    <row r="512" spans="1:3">
      <c r="A512" s="804">
        <f t="shared" si="29"/>
        <v>482</v>
      </c>
      <c r="B512" s="801">
        <f t="shared" si="28"/>
        <v>0</v>
      </c>
      <c r="C512" s="801">
        <f t="shared" si="27"/>
        <v>0</v>
      </c>
    </row>
    <row r="513" spans="1:3">
      <c r="A513" s="804">
        <f t="shared" si="29"/>
        <v>483</v>
      </c>
      <c r="B513" s="801">
        <f t="shared" si="28"/>
        <v>0</v>
      </c>
      <c r="C513" s="801">
        <f t="shared" si="27"/>
        <v>0</v>
      </c>
    </row>
    <row r="514" spans="1:3">
      <c r="A514" s="804">
        <f t="shared" si="29"/>
        <v>484</v>
      </c>
      <c r="B514" s="801">
        <f t="shared" si="28"/>
        <v>0</v>
      </c>
      <c r="C514" s="801">
        <f t="shared" si="27"/>
        <v>0</v>
      </c>
    </row>
    <row r="515" spans="1:3">
      <c r="A515" s="804">
        <f t="shared" si="29"/>
        <v>485</v>
      </c>
      <c r="B515" s="801">
        <f t="shared" si="28"/>
        <v>0</v>
      </c>
      <c r="C515" s="801">
        <f t="shared" si="27"/>
        <v>0</v>
      </c>
    </row>
    <row r="516" spans="1:3">
      <c r="A516" s="804">
        <f t="shared" si="29"/>
        <v>486</v>
      </c>
      <c r="B516" s="801">
        <f t="shared" si="28"/>
        <v>0</v>
      </c>
      <c r="C516" s="801">
        <f t="shared" si="27"/>
        <v>0</v>
      </c>
    </row>
    <row r="517" spans="1:3">
      <c r="A517" s="804">
        <f t="shared" si="29"/>
        <v>487</v>
      </c>
      <c r="B517" s="801">
        <f t="shared" si="28"/>
        <v>0</v>
      </c>
      <c r="C517" s="801">
        <f t="shared" si="27"/>
        <v>0</v>
      </c>
    </row>
    <row r="518" spans="1:3">
      <c r="A518" s="804">
        <f t="shared" si="29"/>
        <v>488</v>
      </c>
      <c r="B518" s="801">
        <f t="shared" si="28"/>
        <v>0</v>
      </c>
      <c r="C518" s="801">
        <f t="shared" si="27"/>
        <v>0</v>
      </c>
    </row>
    <row r="519" spans="1:3">
      <c r="A519" s="804">
        <f t="shared" si="29"/>
        <v>489</v>
      </c>
      <c r="B519" s="801">
        <f t="shared" si="28"/>
        <v>0</v>
      </c>
      <c r="C519" s="801">
        <f t="shared" si="27"/>
        <v>0</v>
      </c>
    </row>
    <row r="520" spans="1:3">
      <c r="A520" s="804">
        <f t="shared" si="29"/>
        <v>490</v>
      </c>
      <c r="B520" s="801">
        <f t="shared" si="28"/>
        <v>0</v>
      </c>
      <c r="C520" s="801">
        <f t="shared" si="27"/>
        <v>0</v>
      </c>
    </row>
    <row r="521" spans="1:3">
      <c r="A521" s="804">
        <f t="shared" si="29"/>
        <v>491</v>
      </c>
      <c r="B521" s="801">
        <f t="shared" si="28"/>
        <v>0</v>
      </c>
      <c r="C521" s="801">
        <f t="shared" si="27"/>
        <v>0</v>
      </c>
    </row>
    <row r="522" spans="1:3">
      <c r="A522" s="804">
        <f t="shared" si="29"/>
        <v>492</v>
      </c>
      <c r="B522" s="801">
        <f t="shared" si="28"/>
        <v>0</v>
      </c>
      <c r="C522" s="801">
        <f t="shared" si="27"/>
        <v>0</v>
      </c>
    </row>
    <row r="523" spans="1:3">
      <c r="A523" s="804">
        <f t="shared" si="29"/>
        <v>493</v>
      </c>
      <c r="B523" s="801">
        <f t="shared" si="28"/>
        <v>0</v>
      </c>
      <c r="C523" s="801">
        <f t="shared" si="27"/>
        <v>0</v>
      </c>
    </row>
    <row r="524" spans="1:3">
      <c r="A524" s="804">
        <f t="shared" si="29"/>
        <v>494</v>
      </c>
      <c r="B524" s="801">
        <f t="shared" si="28"/>
        <v>0</v>
      </c>
      <c r="C524" s="801">
        <f t="shared" si="27"/>
        <v>0</v>
      </c>
    </row>
    <row r="525" spans="1:3">
      <c r="A525" s="804">
        <f t="shared" si="29"/>
        <v>495</v>
      </c>
      <c r="B525" s="801">
        <f t="shared" si="28"/>
        <v>0</v>
      </c>
      <c r="C525" s="801">
        <f t="shared" si="27"/>
        <v>0</v>
      </c>
    </row>
    <row r="526" spans="1:3">
      <c r="A526" s="804">
        <f t="shared" si="29"/>
        <v>496</v>
      </c>
      <c r="B526" s="801">
        <f t="shared" si="28"/>
        <v>0</v>
      </c>
      <c r="C526" s="801">
        <f t="shared" si="27"/>
        <v>0</v>
      </c>
    </row>
    <row r="527" spans="1:3">
      <c r="A527" s="804">
        <f t="shared" si="29"/>
        <v>497</v>
      </c>
      <c r="B527" s="801">
        <f t="shared" si="28"/>
        <v>0</v>
      </c>
      <c r="C527" s="801">
        <f t="shared" si="27"/>
        <v>0</v>
      </c>
    </row>
    <row r="528" spans="1:3">
      <c r="A528" s="804">
        <f t="shared" si="29"/>
        <v>498</v>
      </c>
      <c r="B528" s="801">
        <f t="shared" si="28"/>
        <v>0</v>
      </c>
      <c r="C528" s="801">
        <f t="shared" si="27"/>
        <v>0</v>
      </c>
    </row>
    <row r="529" spans="1:3">
      <c r="A529" s="804">
        <f t="shared" si="29"/>
        <v>499</v>
      </c>
      <c r="B529" s="801">
        <f t="shared" si="28"/>
        <v>0</v>
      </c>
      <c r="C529" s="801">
        <f t="shared" si="27"/>
        <v>0</v>
      </c>
    </row>
    <row r="530" spans="1:3">
      <c r="A530" s="804">
        <f t="shared" si="29"/>
        <v>500</v>
      </c>
      <c r="B530" s="801">
        <f t="shared" si="28"/>
        <v>0</v>
      </c>
      <c r="C530" s="801">
        <f t="shared" si="27"/>
        <v>0</v>
      </c>
    </row>
    <row r="531" spans="1:3">
      <c r="A531" s="804">
        <f t="shared" si="29"/>
        <v>501</v>
      </c>
      <c r="B531" s="801">
        <f t="shared" si="28"/>
        <v>0</v>
      </c>
      <c r="C531" s="801">
        <f t="shared" si="27"/>
        <v>0</v>
      </c>
    </row>
    <row r="532" spans="1:3">
      <c r="A532" s="804">
        <f t="shared" si="29"/>
        <v>502</v>
      </c>
      <c r="B532" s="801">
        <f t="shared" si="28"/>
        <v>0</v>
      </c>
      <c r="C532" s="801">
        <f t="shared" si="27"/>
        <v>0</v>
      </c>
    </row>
    <row r="533" spans="1:3">
      <c r="A533" s="804">
        <f t="shared" si="29"/>
        <v>503</v>
      </c>
      <c r="B533" s="801">
        <f t="shared" si="28"/>
        <v>0</v>
      </c>
      <c r="C533" s="801">
        <f t="shared" si="27"/>
        <v>0</v>
      </c>
    </row>
    <row r="534" spans="1:3">
      <c r="A534" s="804">
        <f t="shared" si="29"/>
        <v>504</v>
      </c>
      <c r="B534" s="801">
        <f t="shared" si="28"/>
        <v>0</v>
      </c>
      <c r="C534" s="801">
        <f t="shared" si="27"/>
        <v>0</v>
      </c>
    </row>
    <row r="535" spans="1:3">
      <c r="A535" s="804">
        <f t="shared" si="29"/>
        <v>505</v>
      </c>
      <c r="B535" s="801">
        <f t="shared" si="28"/>
        <v>0</v>
      </c>
      <c r="C535" s="801">
        <f t="shared" si="27"/>
        <v>0</v>
      </c>
    </row>
    <row r="536" spans="1:3">
      <c r="A536" s="804">
        <f t="shared" si="29"/>
        <v>506</v>
      </c>
      <c r="B536" s="801">
        <f t="shared" si="28"/>
        <v>0</v>
      </c>
      <c r="C536" s="801">
        <f t="shared" si="27"/>
        <v>0</v>
      </c>
    </row>
    <row r="537" spans="1:3">
      <c r="A537" s="804">
        <f t="shared" si="29"/>
        <v>507</v>
      </c>
      <c r="B537" s="801">
        <f t="shared" si="28"/>
        <v>0</v>
      </c>
      <c r="C537" s="801">
        <f t="shared" si="27"/>
        <v>0</v>
      </c>
    </row>
    <row r="538" spans="1:3">
      <c r="A538" s="804">
        <f t="shared" si="29"/>
        <v>508</v>
      </c>
      <c r="B538" s="801">
        <f t="shared" si="28"/>
        <v>0</v>
      </c>
      <c r="C538" s="801">
        <f t="shared" si="27"/>
        <v>0</v>
      </c>
    </row>
    <row r="539" spans="1:3">
      <c r="A539" s="804">
        <f t="shared" si="29"/>
        <v>509</v>
      </c>
      <c r="B539" s="801">
        <f t="shared" si="28"/>
        <v>0</v>
      </c>
      <c r="C539" s="801">
        <f t="shared" si="27"/>
        <v>0</v>
      </c>
    </row>
    <row r="540" spans="1:3">
      <c r="A540" s="804">
        <f t="shared" si="29"/>
        <v>510</v>
      </c>
      <c r="B540" s="801">
        <f t="shared" si="28"/>
        <v>0</v>
      </c>
      <c r="C540" s="801">
        <f t="shared" si="27"/>
        <v>0</v>
      </c>
    </row>
    <row r="541" spans="1:3">
      <c r="A541" s="804">
        <f t="shared" si="29"/>
        <v>511</v>
      </c>
      <c r="B541" s="801">
        <f t="shared" si="28"/>
        <v>0</v>
      </c>
      <c r="C541" s="801">
        <f t="shared" si="27"/>
        <v>0</v>
      </c>
    </row>
    <row r="542" spans="1:3">
      <c r="A542" s="804">
        <f t="shared" si="29"/>
        <v>512</v>
      </c>
      <c r="B542" s="801">
        <f t="shared" si="28"/>
        <v>0</v>
      </c>
      <c r="C542" s="801">
        <f t="shared" ref="C542:C605" si="30">IF(B542&gt;$B$29,$B$29,B542)</f>
        <v>0</v>
      </c>
    </row>
    <row r="543" spans="1:3">
      <c r="A543" s="804">
        <f t="shared" si="29"/>
        <v>513</v>
      </c>
      <c r="B543" s="801">
        <f t="shared" ref="B543:B606" si="31">IF((B542*(1+($B$27)/12))-$B$29&lt;0,0,(B542*(1+($B$27)/12))-$B$29)</f>
        <v>0</v>
      </c>
      <c r="C543" s="801">
        <f t="shared" si="30"/>
        <v>0</v>
      </c>
    </row>
    <row r="544" spans="1:3">
      <c r="A544" s="804">
        <f t="shared" ref="A544:A607" si="32">A543+1</f>
        <v>514</v>
      </c>
      <c r="B544" s="801">
        <f t="shared" si="31"/>
        <v>0</v>
      </c>
      <c r="C544" s="801">
        <f t="shared" si="30"/>
        <v>0</v>
      </c>
    </row>
    <row r="545" spans="1:3">
      <c r="A545" s="804">
        <f t="shared" si="32"/>
        <v>515</v>
      </c>
      <c r="B545" s="801">
        <f t="shared" si="31"/>
        <v>0</v>
      </c>
      <c r="C545" s="801">
        <f t="shared" si="30"/>
        <v>0</v>
      </c>
    </row>
    <row r="546" spans="1:3">
      <c r="A546" s="804">
        <f t="shared" si="32"/>
        <v>516</v>
      </c>
      <c r="B546" s="801">
        <f t="shared" si="31"/>
        <v>0</v>
      </c>
      <c r="C546" s="801">
        <f t="shared" si="30"/>
        <v>0</v>
      </c>
    </row>
    <row r="547" spans="1:3">
      <c r="A547" s="804">
        <f t="shared" si="32"/>
        <v>517</v>
      </c>
      <c r="B547" s="801">
        <f t="shared" si="31"/>
        <v>0</v>
      </c>
      <c r="C547" s="801">
        <f t="shared" si="30"/>
        <v>0</v>
      </c>
    </row>
    <row r="548" spans="1:3">
      <c r="A548" s="804">
        <f t="shared" si="32"/>
        <v>518</v>
      </c>
      <c r="B548" s="801">
        <f t="shared" si="31"/>
        <v>0</v>
      </c>
      <c r="C548" s="801">
        <f t="shared" si="30"/>
        <v>0</v>
      </c>
    </row>
    <row r="549" spans="1:3">
      <c r="A549" s="804">
        <f t="shared" si="32"/>
        <v>519</v>
      </c>
      <c r="B549" s="801">
        <f t="shared" si="31"/>
        <v>0</v>
      </c>
      <c r="C549" s="801">
        <f t="shared" si="30"/>
        <v>0</v>
      </c>
    </row>
    <row r="550" spans="1:3">
      <c r="A550" s="804">
        <f t="shared" si="32"/>
        <v>520</v>
      </c>
      <c r="B550" s="801">
        <f t="shared" si="31"/>
        <v>0</v>
      </c>
      <c r="C550" s="801">
        <f t="shared" si="30"/>
        <v>0</v>
      </c>
    </row>
    <row r="551" spans="1:3">
      <c r="A551" s="804">
        <f t="shared" si="32"/>
        <v>521</v>
      </c>
      <c r="B551" s="801">
        <f t="shared" si="31"/>
        <v>0</v>
      </c>
      <c r="C551" s="801">
        <f t="shared" si="30"/>
        <v>0</v>
      </c>
    </row>
    <row r="552" spans="1:3">
      <c r="A552" s="804">
        <f t="shared" si="32"/>
        <v>522</v>
      </c>
      <c r="B552" s="801">
        <f t="shared" si="31"/>
        <v>0</v>
      </c>
      <c r="C552" s="801">
        <f t="shared" si="30"/>
        <v>0</v>
      </c>
    </row>
    <row r="553" spans="1:3">
      <c r="A553" s="804">
        <f t="shared" si="32"/>
        <v>523</v>
      </c>
      <c r="B553" s="801">
        <f t="shared" si="31"/>
        <v>0</v>
      </c>
      <c r="C553" s="801">
        <f t="shared" si="30"/>
        <v>0</v>
      </c>
    </row>
    <row r="554" spans="1:3">
      <c r="A554" s="804">
        <f t="shared" si="32"/>
        <v>524</v>
      </c>
      <c r="B554" s="801">
        <f t="shared" si="31"/>
        <v>0</v>
      </c>
      <c r="C554" s="801">
        <f t="shared" si="30"/>
        <v>0</v>
      </c>
    </row>
    <row r="555" spans="1:3">
      <c r="A555" s="804">
        <f t="shared" si="32"/>
        <v>525</v>
      </c>
      <c r="B555" s="801">
        <f t="shared" si="31"/>
        <v>0</v>
      </c>
      <c r="C555" s="801">
        <f t="shared" si="30"/>
        <v>0</v>
      </c>
    </row>
    <row r="556" spans="1:3">
      <c r="A556" s="804">
        <f t="shared" si="32"/>
        <v>526</v>
      </c>
      <c r="B556" s="801">
        <f t="shared" si="31"/>
        <v>0</v>
      </c>
      <c r="C556" s="801">
        <f t="shared" si="30"/>
        <v>0</v>
      </c>
    </row>
    <row r="557" spans="1:3">
      <c r="A557" s="804">
        <f t="shared" si="32"/>
        <v>527</v>
      </c>
      <c r="B557" s="801">
        <f t="shared" si="31"/>
        <v>0</v>
      </c>
      <c r="C557" s="801">
        <f t="shared" si="30"/>
        <v>0</v>
      </c>
    </row>
    <row r="558" spans="1:3">
      <c r="A558" s="804">
        <f t="shared" si="32"/>
        <v>528</v>
      </c>
      <c r="B558" s="801">
        <f t="shared" si="31"/>
        <v>0</v>
      </c>
      <c r="C558" s="801">
        <f t="shared" si="30"/>
        <v>0</v>
      </c>
    </row>
    <row r="559" spans="1:3">
      <c r="A559" s="804">
        <f t="shared" si="32"/>
        <v>529</v>
      </c>
      <c r="B559" s="801">
        <f t="shared" si="31"/>
        <v>0</v>
      </c>
      <c r="C559" s="801">
        <f t="shared" si="30"/>
        <v>0</v>
      </c>
    </row>
    <row r="560" spans="1:3">
      <c r="A560" s="804">
        <f t="shared" si="32"/>
        <v>530</v>
      </c>
      <c r="B560" s="801">
        <f t="shared" si="31"/>
        <v>0</v>
      </c>
      <c r="C560" s="801">
        <f t="shared" si="30"/>
        <v>0</v>
      </c>
    </row>
    <row r="561" spans="1:3">
      <c r="A561" s="804">
        <f t="shared" si="32"/>
        <v>531</v>
      </c>
      <c r="B561" s="801">
        <f t="shared" si="31"/>
        <v>0</v>
      </c>
      <c r="C561" s="801">
        <f t="shared" si="30"/>
        <v>0</v>
      </c>
    </row>
    <row r="562" spans="1:3">
      <c r="A562" s="804">
        <f t="shared" si="32"/>
        <v>532</v>
      </c>
      <c r="B562" s="801">
        <f t="shared" si="31"/>
        <v>0</v>
      </c>
      <c r="C562" s="801">
        <f t="shared" si="30"/>
        <v>0</v>
      </c>
    </row>
    <row r="563" spans="1:3">
      <c r="A563" s="804">
        <f t="shared" si="32"/>
        <v>533</v>
      </c>
      <c r="B563" s="801">
        <f t="shared" si="31"/>
        <v>0</v>
      </c>
      <c r="C563" s="801">
        <f t="shared" si="30"/>
        <v>0</v>
      </c>
    </row>
    <row r="564" spans="1:3">
      <c r="A564" s="804">
        <f t="shared" si="32"/>
        <v>534</v>
      </c>
      <c r="B564" s="801">
        <f t="shared" si="31"/>
        <v>0</v>
      </c>
      <c r="C564" s="801">
        <f t="shared" si="30"/>
        <v>0</v>
      </c>
    </row>
    <row r="565" spans="1:3">
      <c r="A565" s="804">
        <f t="shared" si="32"/>
        <v>535</v>
      </c>
      <c r="B565" s="801">
        <f t="shared" si="31"/>
        <v>0</v>
      </c>
      <c r="C565" s="801">
        <f t="shared" si="30"/>
        <v>0</v>
      </c>
    </row>
    <row r="566" spans="1:3">
      <c r="A566" s="804">
        <f t="shared" si="32"/>
        <v>536</v>
      </c>
      <c r="B566" s="801">
        <f t="shared" si="31"/>
        <v>0</v>
      </c>
      <c r="C566" s="801">
        <f t="shared" si="30"/>
        <v>0</v>
      </c>
    </row>
    <row r="567" spans="1:3">
      <c r="A567" s="804">
        <f t="shared" si="32"/>
        <v>537</v>
      </c>
      <c r="B567" s="801">
        <f t="shared" si="31"/>
        <v>0</v>
      </c>
      <c r="C567" s="801">
        <f t="shared" si="30"/>
        <v>0</v>
      </c>
    </row>
    <row r="568" spans="1:3">
      <c r="A568" s="804">
        <f t="shared" si="32"/>
        <v>538</v>
      </c>
      <c r="B568" s="801">
        <f t="shared" si="31"/>
        <v>0</v>
      </c>
      <c r="C568" s="801">
        <f t="shared" si="30"/>
        <v>0</v>
      </c>
    </row>
    <row r="569" spans="1:3">
      <c r="A569" s="804">
        <f t="shared" si="32"/>
        <v>539</v>
      </c>
      <c r="B569" s="801">
        <f t="shared" si="31"/>
        <v>0</v>
      </c>
      <c r="C569" s="801">
        <f t="shared" si="30"/>
        <v>0</v>
      </c>
    </row>
    <row r="570" spans="1:3">
      <c r="A570" s="804">
        <f t="shared" si="32"/>
        <v>540</v>
      </c>
      <c r="B570" s="801">
        <f t="shared" si="31"/>
        <v>0</v>
      </c>
      <c r="C570" s="801">
        <f t="shared" si="30"/>
        <v>0</v>
      </c>
    </row>
    <row r="571" spans="1:3">
      <c r="A571" s="804">
        <f t="shared" si="32"/>
        <v>541</v>
      </c>
      <c r="B571" s="801">
        <f t="shared" si="31"/>
        <v>0</v>
      </c>
      <c r="C571" s="801">
        <f t="shared" si="30"/>
        <v>0</v>
      </c>
    </row>
    <row r="572" spans="1:3">
      <c r="A572" s="804">
        <f t="shared" si="32"/>
        <v>542</v>
      </c>
      <c r="B572" s="801">
        <f t="shared" si="31"/>
        <v>0</v>
      </c>
      <c r="C572" s="801">
        <f t="shared" si="30"/>
        <v>0</v>
      </c>
    </row>
    <row r="573" spans="1:3">
      <c r="A573" s="804">
        <f t="shared" si="32"/>
        <v>543</v>
      </c>
      <c r="B573" s="801">
        <f t="shared" si="31"/>
        <v>0</v>
      </c>
      <c r="C573" s="801">
        <f t="shared" si="30"/>
        <v>0</v>
      </c>
    </row>
    <row r="574" spans="1:3">
      <c r="A574" s="804">
        <f t="shared" si="32"/>
        <v>544</v>
      </c>
      <c r="B574" s="801">
        <f t="shared" si="31"/>
        <v>0</v>
      </c>
      <c r="C574" s="801">
        <f t="shared" si="30"/>
        <v>0</v>
      </c>
    </row>
    <row r="575" spans="1:3">
      <c r="A575" s="804">
        <f t="shared" si="32"/>
        <v>545</v>
      </c>
      <c r="B575" s="801">
        <f t="shared" si="31"/>
        <v>0</v>
      </c>
      <c r="C575" s="801">
        <f t="shared" si="30"/>
        <v>0</v>
      </c>
    </row>
    <row r="576" spans="1:3">
      <c r="A576" s="804">
        <f t="shared" si="32"/>
        <v>546</v>
      </c>
      <c r="B576" s="801">
        <f t="shared" si="31"/>
        <v>0</v>
      </c>
      <c r="C576" s="801">
        <f t="shared" si="30"/>
        <v>0</v>
      </c>
    </row>
    <row r="577" spans="1:3">
      <c r="A577" s="804">
        <f t="shared" si="32"/>
        <v>547</v>
      </c>
      <c r="B577" s="801">
        <f t="shared" si="31"/>
        <v>0</v>
      </c>
      <c r="C577" s="801">
        <f t="shared" si="30"/>
        <v>0</v>
      </c>
    </row>
    <row r="578" spans="1:3">
      <c r="A578" s="804">
        <f t="shared" si="32"/>
        <v>548</v>
      </c>
      <c r="B578" s="801">
        <f t="shared" si="31"/>
        <v>0</v>
      </c>
      <c r="C578" s="801">
        <f t="shared" si="30"/>
        <v>0</v>
      </c>
    </row>
    <row r="579" spans="1:3">
      <c r="A579" s="804">
        <f t="shared" si="32"/>
        <v>549</v>
      </c>
      <c r="B579" s="801">
        <f t="shared" si="31"/>
        <v>0</v>
      </c>
      <c r="C579" s="801">
        <f t="shared" si="30"/>
        <v>0</v>
      </c>
    </row>
    <row r="580" spans="1:3">
      <c r="A580" s="804">
        <f t="shared" si="32"/>
        <v>550</v>
      </c>
      <c r="B580" s="801">
        <f t="shared" si="31"/>
        <v>0</v>
      </c>
      <c r="C580" s="801">
        <f t="shared" si="30"/>
        <v>0</v>
      </c>
    </row>
    <row r="581" spans="1:3">
      <c r="A581" s="804">
        <f t="shared" si="32"/>
        <v>551</v>
      </c>
      <c r="B581" s="801">
        <f t="shared" si="31"/>
        <v>0</v>
      </c>
      <c r="C581" s="801">
        <f t="shared" si="30"/>
        <v>0</v>
      </c>
    </row>
    <row r="582" spans="1:3">
      <c r="A582" s="804">
        <f t="shared" si="32"/>
        <v>552</v>
      </c>
      <c r="B582" s="801">
        <f t="shared" si="31"/>
        <v>0</v>
      </c>
      <c r="C582" s="801">
        <f t="shared" si="30"/>
        <v>0</v>
      </c>
    </row>
    <row r="583" spans="1:3">
      <c r="A583" s="804">
        <f t="shared" si="32"/>
        <v>553</v>
      </c>
      <c r="B583" s="801">
        <f t="shared" si="31"/>
        <v>0</v>
      </c>
      <c r="C583" s="801">
        <f t="shared" si="30"/>
        <v>0</v>
      </c>
    </row>
    <row r="584" spans="1:3">
      <c r="A584" s="804">
        <f t="shared" si="32"/>
        <v>554</v>
      </c>
      <c r="B584" s="801">
        <f t="shared" si="31"/>
        <v>0</v>
      </c>
      <c r="C584" s="801">
        <f t="shared" si="30"/>
        <v>0</v>
      </c>
    </row>
    <row r="585" spans="1:3">
      <c r="A585" s="804">
        <f t="shared" si="32"/>
        <v>555</v>
      </c>
      <c r="B585" s="801">
        <f t="shared" si="31"/>
        <v>0</v>
      </c>
      <c r="C585" s="801">
        <f t="shared" si="30"/>
        <v>0</v>
      </c>
    </row>
    <row r="586" spans="1:3">
      <c r="A586" s="804">
        <f t="shared" si="32"/>
        <v>556</v>
      </c>
      <c r="B586" s="801">
        <f t="shared" si="31"/>
        <v>0</v>
      </c>
      <c r="C586" s="801">
        <f t="shared" si="30"/>
        <v>0</v>
      </c>
    </row>
    <row r="587" spans="1:3">
      <c r="A587" s="804">
        <f t="shared" si="32"/>
        <v>557</v>
      </c>
      <c r="B587" s="801">
        <f t="shared" si="31"/>
        <v>0</v>
      </c>
      <c r="C587" s="801">
        <f t="shared" si="30"/>
        <v>0</v>
      </c>
    </row>
    <row r="588" spans="1:3">
      <c r="A588" s="804">
        <f t="shared" si="32"/>
        <v>558</v>
      </c>
      <c r="B588" s="801">
        <f t="shared" si="31"/>
        <v>0</v>
      </c>
      <c r="C588" s="801">
        <f t="shared" si="30"/>
        <v>0</v>
      </c>
    </row>
    <row r="589" spans="1:3">
      <c r="A589" s="804">
        <f t="shared" si="32"/>
        <v>559</v>
      </c>
      <c r="B589" s="801">
        <f t="shared" si="31"/>
        <v>0</v>
      </c>
      <c r="C589" s="801">
        <f t="shared" si="30"/>
        <v>0</v>
      </c>
    </row>
    <row r="590" spans="1:3">
      <c r="A590" s="804">
        <f t="shared" si="32"/>
        <v>560</v>
      </c>
      <c r="B590" s="801">
        <f t="shared" si="31"/>
        <v>0</v>
      </c>
      <c r="C590" s="801">
        <f t="shared" si="30"/>
        <v>0</v>
      </c>
    </row>
    <row r="591" spans="1:3">
      <c r="A591" s="804">
        <f t="shared" si="32"/>
        <v>561</v>
      </c>
      <c r="B591" s="801">
        <f t="shared" si="31"/>
        <v>0</v>
      </c>
      <c r="C591" s="801">
        <f t="shared" si="30"/>
        <v>0</v>
      </c>
    </row>
    <row r="592" spans="1:3">
      <c r="A592" s="804">
        <f t="shared" si="32"/>
        <v>562</v>
      </c>
      <c r="B592" s="801">
        <f t="shared" si="31"/>
        <v>0</v>
      </c>
      <c r="C592" s="801">
        <f t="shared" si="30"/>
        <v>0</v>
      </c>
    </row>
    <row r="593" spans="1:3">
      <c r="A593" s="804">
        <f t="shared" si="32"/>
        <v>563</v>
      </c>
      <c r="B593" s="801">
        <f t="shared" si="31"/>
        <v>0</v>
      </c>
      <c r="C593" s="801">
        <f t="shared" si="30"/>
        <v>0</v>
      </c>
    </row>
    <row r="594" spans="1:3">
      <c r="A594" s="804">
        <f t="shared" si="32"/>
        <v>564</v>
      </c>
      <c r="B594" s="801">
        <f t="shared" si="31"/>
        <v>0</v>
      </c>
      <c r="C594" s="801">
        <f t="shared" si="30"/>
        <v>0</v>
      </c>
    </row>
    <row r="595" spans="1:3">
      <c r="A595" s="804">
        <f t="shared" si="32"/>
        <v>565</v>
      </c>
      <c r="B595" s="801">
        <f t="shared" si="31"/>
        <v>0</v>
      </c>
      <c r="C595" s="801">
        <f t="shared" si="30"/>
        <v>0</v>
      </c>
    </row>
    <row r="596" spans="1:3">
      <c r="A596" s="804">
        <f t="shared" si="32"/>
        <v>566</v>
      </c>
      <c r="B596" s="801">
        <f t="shared" si="31"/>
        <v>0</v>
      </c>
      <c r="C596" s="801">
        <f t="shared" si="30"/>
        <v>0</v>
      </c>
    </row>
    <row r="597" spans="1:3">
      <c r="A597" s="804">
        <f t="shared" si="32"/>
        <v>567</v>
      </c>
      <c r="B597" s="801">
        <f t="shared" si="31"/>
        <v>0</v>
      </c>
      <c r="C597" s="801">
        <f t="shared" si="30"/>
        <v>0</v>
      </c>
    </row>
    <row r="598" spans="1:3">
      <c r="A598" s="804">
        <f t="shared" si="32"/>
        <v>568</v>
      </c>
      <c r="B598" s="801">
        <f t="shared" si="31"/>
        <v>0</v>
      </c>
      <c r="C598" s="801">
        <f t="shared" si="30"/>
        <v>0</v>
      </c>
    </row>
    <row r="599" spans="1:3">
      <c r="A599" s="804">
        <f t="shared" si="32"/>
        <v>569</v>
      </c>
      <c r="B599" s="801">
        <f t="shared" si="31"/>
        <v>0</v>
      </c>
      <c r="C599" s="801">
        <f t="shared" si="30"/>
        <v>0</v>
      </c>
    </row>
    <row r="600" spans="1:3">
      <c r="A600" s="804">
        <f t="shared" si="32"/>
        <v>570</v>
      </c>
      <c r="B600" s="801">
        <f t="shared" si="31"/>
        <v>0</v>
      </c>
      <c r="C600" s="801">
        <f t="shared" si="30"/>
        <v>0</v>
      </c>
    </row>
    <row r="601" spans="1:3">
      <c r="A601" s="804">
        <f t="shared" si="32"/>
        <v>571</v>
      </c>
      <c r="B601" s="801">
        <f t="shared" si="31"/>
        <v>0</v>
      </c>
      <c r="C601" s="801">
        <f t="shared" si="30"/>
        <v>0</v>
      </c>
    </row>
    <row r="602" spans="1:3">
      <c r="A602" s="804">
        <f t="shared" si="32"/>
        <v>572</v>
      </c>
      <c r="B602" s="801">
        <f t="shared" si="31"/>
        <v>0</v>
      </c>
      <c r="C602" s="801">
        <f t="shared" si="30"/>
        <v>0</v>
      </c>
    </row>
    <row r="603" spans="1:3">
      <c r="A603" s="804">
        <f t="shared" si="32"/>
        <v>573</v>
      </c>
      <c r="B603" s="801">
        <f t="shared" si="31"/>
        <v>0</v>
      </c>
      <c r="C603" s="801">
        <f t="shared" si="30"/>
        <v>0</v>
      </c>
    </row>
    <row r="604" spans="1:3">
      <c r="A604" s="804">
        <f t="shared" si="32"/>
        <v>574</v>
      </c>
      <c r="B604" s="801">
        <f t="shared" si="31"/>
        <v>0</v>
      </c>
      <c r="C604" s="801">
        <f t="shared" si="30"/>
        <v>0</v>
      </c>
    </row>
    <row r="605" spans="1:3">
      <c r="A605" s="804">
        <f t="shared" si="32"/>
        <v>575</v>
      </c>
      <c r="B605" s="801">
        <f t="shared" si="31"/>
        <v>0</v>
      </c>
      <c r="C605" s="801">
        <f t="shared" si="30"/>
        <v>0</v>
      </c>
    </row>
    <row r="606" spans="1:3">
      <c r="A606" s="804">
        <f t="shared" si="32"/>
        <v>576</v>
      </c>
      <c r="B606" s="801">
        <f t="shared" si="31"/>
        <v>0</v>
      </c>
      <c r="C606" s="801">
        <f t="shared" ref="C606:C630" si="33">IF(B606&gt;$B$29,$B$29,B606)</f>
        <v>0</v>
      </c>
    </row>
    <row r="607" spans="1:3">
      <c r="A607" s="804">
        <f t="shared" si="32"/>
        <v>577</v>
      </c>
      <c r="B607" s="801">
        <f t="shared" ref="B607:B630" si="34">IF((B606*(1+($B$27)/12))-$B$29&lt;0,0,(B606*(1+($B$27)/12))-$B$29)</f>
        <v>0</v>
      </c>
      <c r="C607" s="801">
        <f t="shared" si="33"/>
        <v>0</v>
      </c>
    </row>
    <row r="608" spans="1:3">
      <c r="A608" s="804">
        <f t="shared" ref="A608:A630" si="35">A607+1</f>
        <v>578</v>
      </c>
      <c r="B608" s="801">
        <f t="shared" si="34"/>
        <v>0</v>
      </c>
      <c r="C608" s="801">
        <f t="shared" si="33"/>
        <v>0</v>
      </c>
    </row>
    <row r="609" spans="1:3">
      <c r="A609" s="804">
        <f t="shared" si="35"/>
        <v>579</v>
      </c>
      <c r="B609" s="801">
        <f t="shared" si="34"/>
        <v>0</v>
      </c>
      <c r="C609" s="801">
        <f t="shared" si="33"/>
        <v>0</v>
      </c>
    </row>
    <row r="610" spans="1:3">
      <c r="A610" s="804">
        <f t="shared" si="35"/>
        <v>580</v>
      </c>
      <c r="B610" s="801">
        <f t="shared" si="34"/>
        <v>0</v>
      </c>
      <c r="C610" s="801">
        <f t="shared" si="33"/>
        <v>0</v>
      </c>
    </row>
    <row r="611" spans="1:3">
      <c r="A611" s="804">
        <f t="shared" si="35"/>
        <v>581</v>
      </c>
      <c r="B611" s="801">
        <f t="shared" si="34"/>
        <v>0</v>
      </c>
      <c r="C611" s="801">
        <f t="shared" si="33"/>
        <v>0</v>
      </c>
    </row>
    <row r="612" spans="1:3">
      <c r="A612" s="804">
        <f t="shared" si="35"/>
        <v>582</v>
      </c>
      <c r="B612" s="801">
        <f t="shared" si="34"/>
        <v>0</v>
      </c>
      <c r="C612" s="801">
        <f t="shared" si="33"/>
        <v>0</v>
      </c>
    </row>
    <row r="613" spans="1:3">
      <c r="A613" s="804">
        <f t="shared" si="35"/>
        <v>583</v>
      </c>
      <c r="B613" s="801">
        <f t="shared" si="34"/>
        <v>0</v>
      </c>
      <c r="C613" s="801">
        <f t="shared" si="33"/>
        <v>0</v>
      </c>
    </row>
    <row r="614" spans="1:3">
      <c r="A614" s="804">
        <f t="shared" si="35"/>
        <v>584</v>
      </c>
      <c r="B614" s="801">
        <f t="shared" si="34"/>
        <v>0</v>
      </c>
      <c r="C614" s="801">
        <f t="shared" si="33"/>
        <v>0</v>
      </c>
    </row>
    <row r="615" spans="1:3">
      <c r="A615" s="804">
        <f t="shared" si="35"/>
        <v>585</v>
      </c>
      <c r="B615" s="801">
        <f t="shared" si="34"/>
        <v>0</v>
      </c>
      <c r="C615" s="801">
        <f t="shared" si="33"/>
        <v>0</v>
      </c>
    </row>
    <row r="616" spans="1:3">
      <c r="A616" s="804">
        <f t="shared" si="35"/>
        <v>586</v>
      </c>
      <c r="B616" s="801">
        <f t="shared" si="34"/>
        <v>0</v>
      </c>
      <c r="C616" s="801">
        <f t="shared" si="33"/>
        <v>0</v>
      </c>
    </row>
    <row r="617" spans="1:3">
      <c r="A617" s="804">
        <f t="shared" si="35"/>
        <v>587</v>
      </c>
      <c r="B617" s="801">
        <f t="shared" si="34"/>
        <v>0</v>
      </c>
      <c r="C617" s="801">
        <f t="shared" si="33"/>
        <v>0</v>
      </c>
    </row>
    <row r="618" spans="1:3">
      <c r="A618" s="804">
        <f t="shared" si="35"/>
        <v>588</v>
      </c>
      <c r="B618" s="801">
        <f t="shared" si="34"/>
        <v>0</v>
      </c>
      <c r="C618" s="801">
        <f t="shared" si="33"/>
        <v>0</v>
      </c>
    </row>
    <row r="619" spans="1:3">
      <c r="A619" s="804">
        <f t="shared" si="35"/>
        <v>589</v>
      </c>
      <c r="B619" s="801">
        <f t="shared" si="34"/>
        <v>0</v>
      </c>
      <c r="C619" s="801">
        <f t="shared" si="33"/>
        <v>0</v>
      </c>
    </row>
    <row r="620" spans="1:3">
      <c r="A620" s="804">
        <f t="shared" si="35"/>
        <v>590</v>
      </c>
      <c r="B620" s="801">
        <f t="shared" si="34"/>
        <v>0</v>
      </c>
      <c r="C620" s="801">
        <f t="shared" si="33"/>
        <v>0</v>
      </c>
    </row>
    <row r="621" spans="1:3">
      <c r="A621" s="804">
        <f t="shared" si="35"/>
        <v>591</v>
      </c>
      <c r="B621" s="801">
        <f t="shared" si="34"/>
        <v>0</v>
      </c>
      <c r="C621" s="801">
        <f t="shared" si="33"/>
        <v>0</v>
      </c>
    </row>
    <row r="622" spans="1:3">
      <c r="A622" s="804">
        <f t="shared" si="35"/>
        <v>592</v>
      </c>
      <c r="B622" s="801">
        <f t="shared" si="34"/>
        <v>0</v>
      </c>
      <c r="C622" s="801">
        <f t="shared" si="33"/>
        <v>0</v>
      </c>
    </row>
    <row r="623" spans="1:3">
      <c r="A623" s="804">
        <f t="shared" si="35"/>
        <v>593</v>
      </c>
      <c r="B623" s="801">
        <f t="shared" si="34"/>
        <v>0</v>
      </c>
      <c r="C623" s="801">
        <f t="shared" si="33"/>
        <v>0</v>
      </c>
    </row>
    <row r="624" spans="1:3">
      <c r="A624" s="804">
        <f t="shared" si="35"/>
        <v>594</v>
      </c>
      <c r="B624" s="801">
        <f t="shared" si="34"/>
        <v>0</v>
      </c>
      <c r="C624" s="801">
        <f t="shared" si="33"/>
        <v>0</v>
      </c>
    </row>
    <row r="625" spans="1:3">
      <c r="A625" s="804">
        <f t="shared" si="35"/>
        <v>595</v>
      </c>
      <c r="B625" s="801">
        <f t="shared" si="34"/>
        <v>0</v>
      </c>
      <c r="C625" s="801">
        <f t="shared" si="33"/>
        <v>0</v>
      </c>
    </row>
    <row r="626" spans="1:3">
      <c r="A626" s="804">
        <f t="shared" si="35"/>
        <v>596</v>
      </c>
      <c r="B626" s="801">
        <f t="shared" si="34"/>
        <v>0</v>
      </c>
      <c r="C626" s="801">
        <f t="shared" si="33"/>
        <v>0</v>
      </c>
    </row>
    <row r="627" spans="1:3">
      <c r="A627" s="804">
        <f t="shared" si="35"/>
        <v>597</v>
      </c>
      <c r="B627" s="801">
        <f t="shared" si="34"/>
        <v>0</v>
      </c>
      <c r="C627" s="801">
        <f t="shared" si="33"/>
        <v>0</v>
      </c>
    </row>
    <row r="628" spans="1:3">
      <c r="A628" s="804">
        <f t="shared" si="35"/>
        <v>598</v>
      </c>
      <c r="B628" s="801">
        <f t="shared" si="34"/>
        <v>0</v>
      </c>
      <c r="C628" s="801">
        <f t="shared" si="33"/>
        <v>0</v>
      </c>
    </row>
    <row r="629" spans="1:3">
      <c r="A629" s="804">
        <f t="shared" si="35"/>
        <v>599</v>
      </c>
      <c r="B629" s="801">
        <f t="shared" si="34"/>
        <v>0</v>
      </c>
      <c r="C629" s="801">
        <f t="shared" si="33"/>
        <v>0</v>
      </c>
    </row>
    <row r="630" spans="1:3">
      <c r="A630" s="804">
        <f t="shared" si="35"/>
        <v>600</v>
      </c>
      <c r="B630" s="801">
        <f t="shared" si="34"/>
        <v>0</v>
      </c>
      <c r="C630" s="801">
        <f t="shared" si="33"/>
        <v>0</v>
      </c>
    </row>
    <row r="631" spans="1:3">
      <c r="A631" s="804"/>
      <c r="B631" s="801"/>
    </row>
    <row r="632" spans="1:3">
      <c r="A632" s="804"/>
      <c r="B632" s="801"/>
    </row>
  </sheetData>
  <sheetProtection password="9227" sheet="1" objects="1" scenarios="1" selectLockedCells="1" selectUnlockedCells="1"/>
  <mergeCells count="8">
    <mergeCell ref="P1:X1"/>
    <mergeCell ref="A24:D24"/>
    <mergeCell ref="AE1:AF1"/>
    <mergeCell ref="AC1:AD1"/>
    <mergeCell ref="B1:N1"/>
    <mergeCell ref="B3:D3"/>
    <mergeCell ref="F3:I3"/>
    <mergeCell ref="K3:N3"/>
  </mergeCells>
  <pageMargins left="0.5" right="0.5" top="0.75" bottom="0.5" header="0.5" footer="0.5"/>
  <pageSetup scale="50" orientation="portrait" horizontalDpi="1200" verticalDpi="1200" r:id="rId1"/>
</worksheet>
</file>

<file path=xl/worksheets/sheet2.xml><?xml version="1.0" encoding="utf-8"?>
<worksheet xmlns="http://schemas.openxmlformats.org/spreadsheetml/2006/main" xmlns:r="http://schemas.openxmlformats.org/officeDocument/2006/relationships">
  <sheetPr>
    <tabColor rgb="FFC00000"/>
    <pageSetUpPr fitToPage="1"/>
  </sheetPr>
  <dimension ref="A1:Y60"/>
  <sheetViews>
    <sheetView showGridLines="0" tabSelected="1" showRuler="0" zoomScaleNormal="100" workbookViewId="0">
      <selection activeCell="D4" sqref="D4"/>
    </sheetView>
  </sheetViews>
  <sheetFormatPr defaultRowHeight="15"/>
  <cols>
    <col min="1" max="3" width="10.125" style="188" customWidth="1"/>
    <col min="4" max="4" width="11.625" style="188" customWidth="1"/>
    <col min="5" max="5" width="0.875" style="188" customWidth="1"/>
    <col min="6" max="6" width="11.125" style="188" customWidth="1"/>
    <col min="7" max="7" width="1.625" style="188" customWidth="1"/>
    <col min="8" max="8" width="10.125" style="188" customWidth="1"/>
    <col min="9" max="10" width="11.125" style="188" customWidth="1"/>
    <col min="11" max="11" width="9.625" style="188" customWidth="1"/>
    <col min="12" max="15" width="10.625" style="188" hidden="1" customWidth="1"/>
    <col min="16" max="17" width="8.125" style="188" customWidth="1"/>
    <col min="18" max="18" width="9.125" style="188" customWidth="1"/>
    <col min="19" max="19" width="10.625" style="188" customWidth="1"/>
    <col min="20" max="20" width="6.625" style="188" customWidth="1"/>
    <col min="21" max="21" width="1.125" style="188" customWidth="1"/>
    <col min="22" max="22" width="10.625" style="188" customWidth="1"/>
    <col min="23" max="23" width="6.625" style="188" customWidth="1"/>
    <col min="24" max="24" width="9.625" style="188" customWidth="1"/>
    <col min="25" max="25" width="6.625" style="188" customWidth="1"/>
    <col min="26" max="16384" width="9" style="188"/>
  </cols>
  <sheetData>
    <row r="1" spans="1:25" ht="30.75" customHeight="1" thickBot="1">
      <c r="A1" s="522"/>
      <c r="B1" s="919" t="s">
        <v>400</v>
      </c>
      <c r="C1" s="920"/>
      <c r="D1" s="913" t="s">
        <v>401</v>
      </c>
      <c r="E1" s="914"/>
      <c r="F1" s="914"/>
      <c r="G1" s="914"/>
      <c r="H1" s="914"/>
      <c r="I1" s="914"/>
      <c r="J1" s="914"/>
      <c r="K1" s="914"/>
      <c r="L1" s="914"/>
      <c r="M1" s="914"/>
      <c r="N1" s="914"/>
      <c r="O1" s="914"/>
      <c r="P1" s="915"/>
    </row>
    <row r="2" spans="1:25" ht="13.5" customHeight="1">
      <c r="A2" s="922" t="s">
        <v>264</v>
      </c>
      <c r="B2" s="922"/>
      <c r="C2" s="923" t="s">
        <v>358</v>
      </c>
      <c r="D2" s="923"/>
      <c r="E2" s="358"/>
      <c r="F2" s="742"/>
      <c r="G2" s="358"/>
      <c r="H2" s="742" t="s">
        <v>489</v>
      </c>
      <c r="I2" s="577"/>
      <c r="J2" s="577"/>
      <c r="K2" s="577"/>
      <c r="P2" s="560" t="s">
        <v>457</v>
      </c>
    </row>
    <row r="3" spans="1:25" ht="14.25" customHeight="1">
      <c r="A3" s="331"/>
      <c r="B3" s="331"/>
      <c r="C3" s="331"/>
      <c r="D3" s="266" t="s">
        <v>305</v>
      </c>
      <c r="E3" s="623"/>
      <c r="F3" s="266" t="s">
        <v>306</v>
      </c>
      <c r="G3" s="331"/>
      <c r="H3" s="266" t="s">
        <v>440</v>
      </c>
      <c r="I3" s="331"/>
      <c r="K3" s="331"/>
      <c r="R3" s="996" t="s">
        <v>521</v>
      </c>
      <c r="S3" s="997"/>
      <c r="T3" s="997"/>
      <c r="U3" s="997"/>
      <c r="V3" s="998"/>
      <c r="W3" s="820"/>
    </row>
    <row r="4" spans="1:25" ht="14.25" customHeight="1">
      <c r="A4" s="924" t="s">
        <v>363</v>
      </c>
      <c r="B4" s="924"/>
      <c r="C4" s="924"/>
      <c r="D4" s="640">
        <v>19360</v>
      </c>
      <c r="E4" s="197"/>
      <c r="F4" s="640">
        <v>19360</v>
      </c>
      <c r="G4" s="331"/>
      <c r="H4" s="868" t="str">
        <f ca="1">'Additional Input'!$N$9&amp;"/"&amp;IF('Additional Input'!$O$9="","",IF('Additional Input'!$O$9=0,"",'Additional Input'!$O$9))</f>
        <v>60/60</v>
      </c>
      <c r="I4" s="331"/>
      <c r="J4" s="912" t="s">
        <v>441</v>
      </c>
      <c r="K4" s="912"/>
      <c r="R4" s="999" t="str">
        <f ca="1">"Projected Gross Estate in "&amp;$T$12&amp;" Yrs at "&amp;$S$12*100&amp;"%:  "&amp;DOLLAR($D$6*(1+$S$12)^$T$12,-2)</f>
        <v>Projected Gross Estate in 15 Yrs at 8%:  $47,582,500</v>
      </c>
      <c r="S4" s="1000"/>
      <c r="T4" s="1000"/>
      <c r="U4" s="1000"/>
      <c r="V4" s="1001"/>
    </row>
    <row r="5" spans="1:25" ht="15" customHeight="1">
      <c r="A5" s="921" t="str">
        <f>IF(D6=D5,"Total Assets/Growth Rate?","Liquid/Investment Assets/Growth Rate?")</f>
        <v>Total Assets/Growth Rate?</v>
      </c>
      <c r="B5" s="921"/>
      <c r="C5" s="921"/>
      <c r="D5" s="630">
        <v>15000000</v>
      </c>
      <c r="E5" s="638"/>
      <c r="F5" s="516">
        <v>0.04</v>
      </c>
      <c r="I5" s="277"/>
      <c r="J5" s="580">
        <v>0.5</v>
      </c>
      <c r="K5" s="869">
        <f>IF(F4="",0,$J$5)</f>
        <v>0.5</v>
      </c>
      <c r="R5" s="903">
        <f ca="1">IF(DOLLAR($D$6*(1+$S$12)^$T$12,-2)&gt;D6*2,D6*2,DOLLAR($D$6*(1+$S$12)^$T$12,-2))</f>
        <v>30000000</v>
      </c>
      <c r="S5" s="904"/>
      <c r="T5" s="904"/>
      <c r="U5" s="904"/>
      <c r="V5" s="905"/>
    </row>
    <row r="6" spans="1:25" ht="21" customHeight="1">
      <c r="A6" s="916" t="str">
        <f>IF(D6=D5,"     Net Worth","     Net Worth (see Additional Input)")</f>
        <v xml:space="preserve">     Net Worth</v>
      </c>
      <c r="B6" s="916"/>
      <c r="C6" s="916"/>
      <c r="D6" s="565">
        <f>'Additional Input'!$D$30</f>
        <v>15000000</v>
      </c>
      <c r="F6" s="266" t="s">
        <v>398</v>
      </c>
      <c r="K6" s="190"/>
      <c r="P6" s="336"/>
      <c r="Q6" s="888"/>
      <c r="R6" s="889" t="s">
        <v>519</v>
      </c>
      <c r="S6" s="889" t="s">
        <v>518</v>
      </c>
      <c r="T6" s="927" t="s">
        <v>524</v>
      </c>
      <c r="U6" s="927"/>
      <c r="V6" s="927"/>
    </row>
    <row r="7" spans="1:25" ht="15.75" customHeight="1">
      <c r="A7" s="935" t="s">
        <v>429</v>
      </c>
      <c r="B7" s="935"/>
      <c r="C7" s="936"/>
      <c r="D7" s="630">
        <v>0</v>
      </c>
      <c r="E7" s="334"/>
      <c r="F7" s="520">
        <v>10</v>
      </c>
      <c r="G7" s="189"/>
      <c r="H7" s="932" t="s">
        <v>446</v>
      </c>
      <c r="I7" s="933"/>
      <c r="J7" s="933"/>
      <c r="K7" s="934"/>
      <c r="Q7" s="682"/>
      <c r="R7" s="890">
        <v>0</v>
      </c>
      <c r="S7" s="891">
        <v>0.08</v>
      </c>
      <c r="T7" s="925">
        <v>15</v>
      </c>
      <c r="U7" s="925"/>
      <c r="V7" s="925"/>
    </row>
    <row r="8" spans="1:25" ht="15" customHeight="1">
      <c r="A8" s="935" t="s">
        <v>428</v>
      </c>
      <c r="B8" s="935"/>
      <c r="C8" s="936"/>
      <c r="D8" s="630">
        <v>0</v>
      </c>
      <c r="E8" s="121"/>
      <c r="F8" s="195"/>
      <c r="G8" s="195"/>
      <c r="H8" s="631">
        <v>0</v>
      </c>
      <c r="I8" s="631">
        <v>0</v>
      </c>
      <c r="J8" s="631">
        <v>0</v>
      </c>
      <c r="K8" s="520">
        <v>10</v>
      </c>
      <c r="Q8" s="682"/>
      <c r="R8" s="890">
        <v>66</v>
      </c>
      <c r="S8" s="891">
        <v>0.06</v>
      </c>
      <c r="T8" s="925">
        <v>10</v>
      </c>
      <c r="U8" s="925"/>
      <c r="V8" s="925"/>
    </row>
    <row r="9" spans="1:25" ht="15" customHeight="1">
      <c r="A9" s="916" t="s">
        <v>411</v>
      </c>
      <c r="B9" s="916"/>
      <c r="C9" s="916"/>
      <c r="D9" s="565">
        <f>D6+D7+D8</f>
        <v>15000000</v>
      </c>
      <c r="E9" s="121"/>
      <c r="F9" s="195"/>
      <c r="G9" s="195"/>
      <c r="H9" s="578" t="s">
        <v>430</v>
      </c>
      <c r="I9" s="578" t="s">
        <v>504</v>
      </c>
      <c r="J9" s="578" t="s">
        <v>431</v>
      </c>
      <c r="K9" s="578" t="s">
        <v>398</v>
      </c>
      <c r="Q9" s="682"/>
      <c r="R9" s="890">
        <v>81</v>
      </c>
      <c r="S9" s="891">
        <v>0</v>
      </c>
      <c r="T9" s="925">
        <v>0</v>
      </c>
      <c r="U9" s="925"/>
      <c r="V9" s="925"/>
    </row>
    <row r="10" spans="1:25" ht="15.75">
      <c r="A10" s="940" t="s">
        <v>268</v>
      </c>
      <c r="B10" s="940"/>
      <c r="C10" s="940"/>
      <c r="D10" s="517" t="b">
        <v>1</v>
      </c>
      <c r="F10" s="218" t="str">
        <f>IF($F$4="",IF(Calculator!D10=TRUE,"ERROR",""),"")</f>
        <v/>
      </c>
      <c r="G10" s="200"/>
      <c r="H10" s="201"/>
      <c r="I10" s="202"/>
      <c r="J10" s="203" t="str">
        <f>IF($H$8&gt;0,IF($F$22&lt;4,"DEATH BENEFIT ADDED BACK",""),"")</f>
        <v/>
      </c>
      <c r="K10" s="204"/>
      <c r="Q10" s="682"/>
      <c r="R10" s="906" t="s">
        <v>520</v>
      </c>
      <c r="S10" s="907"/>
      <c r="T10" s="907"/>
      <c r="U10" s="907"/>
      <c r="V10" s="908"/>
    </row>
    <row r="11" spans="1:25" ht="12.75" customHeight="1" thickBot="1">
      <c r="A11" s="549"/>
      <c r="B11" s="549"/>
      <c r="C11" s="549"/>
      <c r="D11" s="205"/>
      <c r="F11" s="199"/>
      <c r="G11" s="200"/>
      <c r="H11" s="201"/>
      <c r="I11" s="202"/>
      <c r="J11" s="206"/>
      <c r="K11" s="206"/>
      <c r="Q11" s="682"/>
      <c r="R11" s="909"/>
      <c r="S11" s="910"/>
      <c r="T11" s="910"/>
      <c r="U11" s="910"/>
      <c r="V11" s="911"/>
    </row>
    <row r="12" spans="1:25" ht="12.75" customHeight="1" thickTop="1">
      <c r="A12" s="550"/>
      <c r="B12" s="551"/>
      <c r="C12" s="551"/>
      <c r="D12" s="207"/>
      <c r="E12" s="208"/>
      <c r="F12" s="209"/>
      <c r="G12" s="210"/>
      <c r="H12" s="211"/>
      <c r="I12" s="212"/>
      <c r="J12" s="213"/>
      <c r="K12" s="214"/>
      <c r="Q12" s="892" t="s">
        <v>522</v>
      </c>
      <c r="R12" s="683">
        <f ca="1">'Additional Input'!N9</f>
        <v>60</v>
      </c>
      <c r="S12" s="893">
        <f ca="1">VLOOKUP('Additional Input'!$N$9,Underwriting,2)</f>
        <v>0.08</v>
      </c>
      <c r="T12" s="926">
        <f ca="1">VLOOKUP('Additional Input'!$N$9,Underwriting,3)</f>
        <v>15</v>
      </c>
      <c r="U12" s="926"/>
      <c r="V12" s="926"/>
    </row>
    <row r="13" spans="1:25">
      <c r="A13" s="917" t="s">
        <v>329</v>
      </c>
      <c r="B13" s="918"/>
      <c r="C13" s="918"/>
      <c r="D13" s="518" t="s">
        <v>33</v>
      </c>
      <c r="E13" s="215"/>
      <c r="F13" s="216" t="str">
        <f>VLOOKUP($D$13,States,3,FALSE)</f>
        <v>Florida</v>
      </c>
      <c r="G13" s="216"/>
      <c r="H13" s="216"/>
      <c r="I13" s="197" t="str">
        <f>VLOOKUP($D$13,States,1,FALSE)&amp;" State QTIP?"</f>
        <v>FL State QTIP?</v>
      </c>
      <c r="J13" s="636" t="str">
        <f>VLOOKUP($D$13,States,8,FALSE)</f>
        <v>N/A</v>
      </c>
      <c r="K13" s="217"/>
      <c r="R13" s="883"/>
      <c r="T13" s="883"/>
      <c r="U13" s="883"/>
      <c r="V13" s="883"/>
    </row>
    <row r="14" spans="1:25" ht="15.75">
      <c r="A14" s="938" t="s">
        <v>426</v>
      </c>
      <c r="B14" s="939"/>
      <c r="C14" s="939"/>
      <c r="D14" s="517" t="b">
        <v>1</v>
      </c>
      <c r="E14" s="215"/>
      <c r="F14" s="218" t="str">
        <f>IF('Additional Input'!$D$29&lt;0,"ERROR",IF(Calculator!D10=FALSE,IF(Calculator!D14=TRUE,"ERROR",""),""))</f>
        <v/>
      </c>
      <c r="G14" s="215"/>
      <c r="H14" s="215"/>
      <c r="I14" s="219" t="s">
        <v>316</v>
      </c>
      <c r="J14" s="630">
        <v>0</v>
      </c>
      <c r="K14" s="220"/>
    </row>
    <row r="15" spans="1:25" ht="15" customHeight="1">
      <c r="A15" s="938" t="s">
        <v>330</v>
      </c>
      <c r="B15" s="939"/>
      <c r="C15" s="939"/>
      <c r="D15" s="519">
        <v>1</v>
      </c>
      <c r="E15" s="215"/>
      <c r="F15" s="928" t="str">
        <f>VLOOKUP($D$13,States,1,FALSE)&amp;" Inheritance Class:  "&amp;IF($D$15=1,VLOOKUP($D$13,States,18,FALSE),IF($D$15=2,VLOOKUP($D$13,States,19,FALSE),VLOOKUP($D$13,States,20,FALSE)))</f>
        <v>FL Inheritance Class:  N/A - No Inheritance Tax</v>
      </c>
      <c r="G15" s="928"/>
      <c r="H15" s="928"/>
      <c r="I15" s="928"/>
      <c r="J15" s="928"/>
      <c r="K15" s="929"/>
      <c r="Q15" s="1007"/>
      <c r="R15" s="1007"/>
      <c r="S15" s="1007"/>
      <c r="T15" s="1007"/>
    </row>
    <row r="16" spans="1:25" ht="15.75" customHeight="1" thickBot="1">
      <c r="A16" s="552"/>
      <c r="B16" s="553"/>
      <c r="C16" s="553"/>
      <c r="D16" s="222"/>
      <c r="E16" s="221"/>
      <c r="F16" s="930"/>
      <c r="G16" s="930"/>
      <c r="H16" s="930"/>
      <c r="I16" s="930"/>
      <c r="J16" s="930"/>
      <c r="K16" s="931"/>
      <c r="Q16" s="970" t="str">
        <f>"RECAP in "&amp;$F$22&amp;" Years (Gifts &amp; Ins) vs Gifts vs No Gifts"</f>
        <v>RECAP in 20 Years (Gifts &amp; Ins) vs Gifts vs No Gifts</v>
      </c>
      <c r="R16" s="971"/>
      <c r="S16" s="971"/>
      <c r="T16" s="971"/>
      <c r="U16" s="971"/>
      <c r="V16" s="971"/>
      <c r="W16" s="971"/>
      <c r="X16" s="971"/>
      <c r="Y16" s="972"/>
    </row>
    <row r="17" spans="1:25" ht="15" customHeight="1" thickTop="1">
      <c r="A17" s="554"/>
      <c r="B17" s="554"/>
      <c r="C17" s="554"/>
      <c r="D17" s="223"/>
      <c r="E17" s="215"/>
      <c r="F17" s="266" t="s">
        <v>432</v>
      </c>
      <c r="K17" s="266"/>
      <c r="Q17" s="968" t="s">
        <v>468</v>
      </c>
      <c r="R17" s="975"/>
      <c r="S17" s="975"/>
      <c r="T17" s="969"/>
      <c r="U17" s="638"/>
      <c r="V17" s="968" t="s">
        <v>469</v>
      </c>
      <c r="W17" s="969"/>
      <c r="X17" s="968" t="s">
        <v>467</v>
      </c>
      <c r="Y17" s="969"/>
    </row>
    <row r="18" spans="1:25" ht="15" customHeight="1">
      <c r="A18" s="573" t="s">
        <v>437</v>
      </c>
      <c r="B18" s="554"/>
      <c r="C18" s="554"/>
      <c r="D18" s="520">
        <v>3</v>
      </c>
      <c r="E18" s="215"/>
      <c r="F18" s="517" t="b">
        <v>1</v>
      </c>
      <c r="H18" s="266" t="s">
        <v>398</v>
      </c>
      <c r="I18" s="941" t="s">
        <v>439</v>
      </c>
      <c r="J18" s="842" t="s">
        <v>434</v>
      </c>
      <c r="K18" s="330"/>
      <c r="Q18" s="693" t="s">
        <v>463</v>
      </c>
      <c r="R18" s="682"/>
      <c r="S18" s="876">
        <f ca="1">VLOOKUP($F$22,DATA3,9)</f>
        <v>32866847.145501319</v>
      </c>
      <c r="T18" s="690">
        <f ca="1">IF($S$18=0,0,S18/$S$18)</f>
        <v>1</v>
      </c>
      <c r="U18" s="682"/>
      <c r="V18" s="880">
        <f ca="1">VLOOKUP($F$22,DATA3,9)</f>
        <v>32866847.145501319</v>
      </c>
      <c r="W18" s="689">
        <f ca="1">IF($V$18=0,0,V18/$V$18)</f>
        <v>1</v>
      </c>
      <c r="X18" s="880">
        <f ca="1">VLOOKUP($F$22,DATA3,9)</f>
        <v>32866847.145501319</v>
      </c>
      <c r="Y18" s="689">
        <f ca="1">IF($V$18=0,0,X18/$V$18)</f>
        <v>1</v>
      </c>
    </row>
    <row r="19" spans="1:25">
      <c r="A19" s="935" t="s">
        <v>438</v>
      </c>
      <c r="B19" s="935"/>
      <c r="C19" s="935"/>
      <c r="D19" s="517" t="b">
        <v>1</v>
      </c>
      <c r="E19" s="121"/>
      <c r="F19" s="631">
        <v>0</v>
      </c>
      <c r="H19" s="520">
        <v>0</v>
      </c>
      <c r="I19" s="942"/>
      <c r="J19" s="843">
        <f>IF($D$19=TRUE,$D$18*IF($F$18=TRUE,2,1)*TaxTables!$T$5,IF($H$19=0,0,$F$19))</f>
        <v>84000</v>
      </c>
      <c r="K19" s="622"/>
      <c r="Q19" s="693" t="str">
        <f>IF($J$19&gt;0,"Projected Estate wGifts","Projected Estate No Gifts")</f>
        <v>Projected Estate wGifts</v>
      </c>
      <c r="R19" s="683"/>
      <c r="S19" s="876">
        <f ca="1">$F$24</f>
        <v>29748556.258274414</v>
      </c>
      <c r="T19" s="690">
        <f ca="1">IF($S$18=0,0,S19/$S$18)</f>
        <v>0.90512351630741295</v>
      </c>
      <c r="U19" s="682"/>
      <c r="V19" s="877">
        <f ca="1">$F$24</f>
        <v>29748556.258274414</v>
      </c>
      <c r="W19" s="690">
        <f t="shared" ref="W19:Y24" ca="1" si="0">IF($V$18=0,0,V19/$V$18)</f>
        <v>0.90512351630741295</v>
      </c>
      <c r="X19" s="877"/>
      <c r="Y19" s="690"/>
    </row>
    <row r="20" spans="1:25">
      <c r="A20" s="668" t="s">
        <v>470</v>
      </c>
      <c r="B20" s="548"/>
      <c r="C20" s="548"/>
      <c r="D20" s="517" t="b">
        <v>0</v>
      </c>
      <c r="E20" s="121"/>
      <c r="F20" s="631">
        <v>0</v>
      </c>
      <c r="G20" s="188">
        <v>5000000</v>
      </c>
      <c r="H20" s="520">
        <f ca="1">H21-MIN('Additional Input'!N9:O9)</f>
        <v>61</v>
      </c>
      <c r="I20" s="841">
        <v>0</v>
      </c>
      <c r="J20" s="843">
        <f>IF(D20=TRUE,F20,0)+J8</f>
        <v>0</v>
      </c>
      <c r="K20" s="622"/>
      <c r="Q20" s="693" t="s">
        <v>451</v>
      </c>
      <c r="R20" s="683"/>
      <c r="S20" s="876">
        <f ca="1">Summary!$A$18</f>
        <v>3118290.8872269043</v>
      </c>
      <c r="T20" s="690">
        <f t="shared" ref="T20:T22" ca="1" si="1">IF($S$18=0,0,S20/$S$18)</f>
        <v>9.4876483692586958E-2</v>
      </c>
      <c r="U20" s="682"/>
      <c r="V20" s="877">
        <f ca="1">VLOOKUP($F$22,DATA2,10)</f>
        <v>3118290.8872269043</v>
      </c>
      <c r="W20" s="690">
        <f t="shared" ca="1" si="0"/>
        <v>9.4876483692586958E-2</v>
      </c>
      <c r="X20" s="877">
        <f ca="1">VLOOKUP($F$22,DATA3,10)</f>
        <v>0</v>
      </c>
      <c r="Y20" s="690">
        <f ca="1">IF($X$18=0,0,X20/$X$18)</f>
        <v>0</v>
      </c>
    </row>
    <row r="21" spans="1:25" ht="12" customHeight="1">
      <c r="A21" s="555"/>
      <c r="B21" s="555"/>
      <c r="C21" s="555"/>
      <c r="D21" s="266" t="s">
        <v>414</v>
      </c>
      <c r="E21" s="121"/>
      <c r="F21" s="266" t="s">
        <v>413</v>
      </c>
      <c r="G21" s="661"/>
      <c r="H21" s="861">
        <v>121</v>
      </c>
      <c r="J21" s="862" t="str">
        <f>IF(J20&gt;J19,"ERROR","")</f>
        <v/>
      </c>
      <c r="K21" s="216"/>
      <c r="Q21" s="693" t="str">
        <f ca="1">"Taxes ("&amp;IF(Summary!$D$28&gt;0,"State+","")&amp;IF(Summary!$F$28&gt;0,"Fed","")&amp;IF(Summary!$H$28&gt;0,"+IRD","")&amp;")"</f>
        <v>Taxes (Fed)</v>
      </c>
      <c r="R21" s="682"/>
      <c r="S21" s="876">
        <f ca="1">-(Summary!$D$28+Summary!$F$28+Summary!$H$28)</f>
        <v>-5659422.5033097658</v>
      </c>
      <c r="T21" s="690">
        <f t="shared" ca="1" si="1"/>
        <v>-0.17219243690322772</v>
      </c>
      <c r="U21" s="682"/>
      <c r="V21" s="877">
        <f ca="1">-(Summary!$D$28+Summary!$F$28+Summary!$H$28)</f>
        <v>-5659422.5033097658</v>
      </c>
      <c r="W21" s="690">
        <f t="shared" ca="1" si="0"/>
        <v>-0.17219243690322772</v>
      </c>
      <c r="X21" s="877">
        <f ca="1">-S39-S40-S43-S44</f>
        <v>-6906738.8582005277</v>
      </c>
      <c r="Y21" s="690">
        <f ca="1">IF($X$18=0,0,X21/$X$18)</f>
        <v>-0.2101430303802625</v>
      </c>
    </row>
    <row r="22" spans="1:25" ht="15" customHeight="1">
      <c r="A22" s="937" t="s">
        <v>318</v>
      </c>
      <c r="B22" s="937"/>
      <c r="C22" s="884" t="str">
        <f ca="1">IF(F22&gt;'Additional Input'!$E$11,"ERROR","")</f>
        <v/>
      </c>
      <c r="F22" s="639">
        <v>20</v>
      </c>
      <c r="I22" s="567" t="s">
        <v>410</v>
      </c>
      <c r="J22" s="867" t="s">
        <v>505</v>
      </c>
      <c r="Q22" s="693" t="s">
        <v>389</v>
      </c>
      <c r="R22" s="683"/>
      <c r="S22" s="876">
        <f ca="1">Summary!A22</f>
        <v>0</v>
      </c>
      <c r="T22" s="690">
        <f t="shared" ca="1" si="1"/>
        <v>0</v>
      </c>
      <c r="U22" s="682"/>
      <c r="V22" s="881">
        <f ca="1">VLOOKUP($F$22,DATA2,11)</f>
        <v>0</v>
      </c>
      <c r="W22" s="691">
        <f t="shared" ca="1" si="0"/>
        <v>0</v>
      </c>
      <c r="X22" s="881">
        <f ca="1">VLOOKUP($F$22,DATA3,11)</f>
        <v>0</v>
      </c>
      <c r="Y22" s="691">
        <f t="shared" ca="1" si="0"/>
        <v>0</v>
      </c>
    </row>
    <row r="23" spans="1:25" ht="3" customHeight="1">
      <c r="A23" s="271"/>
      <c r="B23" s="271"/>
      <c r="C23" s="271"/>
      <c r="F23" s="662"/>
      <c r="I23" s="567"/>
      <c r="Q23" s="694"/>
      <c r="R23" s="684"/>
      <c r="S23" s="878"/>
      <c r="T23" s="692"/>
      <c r="U23" s="682"/>
      <c r="V23" s="877"/>
      <c r="W23" s="690"/>
      <c r="X23" s="877"/>
      <c r="Y23" s="690"/>
    </row>
    <row r="24" spans="1:25" ht="15" customHeight="1">
      <c r="A24" s="937" t="s">
        <v>336</v>
      </c>
      <c r="B24" s="937"/>
      <c r="C24" s="937"/>
      <c r="D24" s="669">
        <f>$D$9+$I$24-J19</f>
        <v>14916000</v>
      </c>
      <c r="E24" s="317"/>
      <c r="F24" s="669">
        <f ca="1">VLOOKUP($F$22,Projections,9)+$J$24</f>
        <v>29748556.258274414</v>
      </c>
      <c r="I24" s="630">
        <v>0</v>
      </c>
      <c r="J24" s="870">
        <f>IF($F$22&gt;3,$I$24+$I$8,$I$24)</f>
        <v>0</v>
      </c>
      <c r="Q24" s="695" t="s">
        <v>452</v>
      </c>
      <c r="R24" s="685"/>
      <c r="S24" s="879">
        <f ca="1">Summary!F32</f>
        <v>27207424.642191555</v>
      </c>
      <c r="T24" s="691">
        <f ca="1">IF($S$18=0,0,S24/$S$18)</f>
        <v>0.82780756309677239</v>
      </c>
      <c r="U24" s="682"/>
      <c r="V24" s="882">
        <f ca="1">V19+V20+V21+V22</f>
        <v>27207424.642191552</v>
      </c>
      <c r="W24" s="691">
        <f t="shared" ca="1" si="0"/>
        <v>0.82780756309677228</v>
      </c>
      <c r="X24" s="882">
        <f ca="1">X18+X20+X21+X22</f>
        <v>25960108.287300792</v>
      </c>
      <c r="Y24" s="691">
        <f ca="1">IF($X$18=0,0,X24/$X$18)</f>
        <v>0.7898569696197375</v>
      </c>
    </row>
    <row r="25" spans="1:25" ht="15" customHeight="1">
      <c r="A25" s="225"/>
      <c r="B25" s="225"/>
      <c r="C25" s="225"/>
      <c r="D25" s="195"/>
      <c r="G25" s="330"/>
      <c r="H25" s="330"/>
      <c r="I25" s="330"/>
      <c r="J25" s="866" t="str">
        <f>IF(I8&gt;0,IF(F22&lt;4,"3 YEAR ADD BACK",""),"")</f>
        <v/>
      </c>
      <c r="K25" s="330"/>
      <c r="Q25" s="887" t="s">
        <v>523</v>
      </c>
      <c r="R25" s="885"/>
      <c r="S25" s="886">
        <f ca="1">S24-X24</f>
        <v>1247316.3548907638</v>
      </c>
      <c r="T25" s="885"/>
      <c r="U25" s="885"/>
      <c r="V25" s="886">
        <f ca="1">V24-X24</f>
        <v>1247316.35489076</v>
      </c>
      <c r="W25" s="885"/>
      <c r="X25" s="885"/>
      <c r="Y25" s="885"/>
    </row>
    <row r="26" spans="1:25" ht="19.5" customHeight="1">
      <c r="A26" s="966" t="str">
        <f>"Lets look at your estate taxes TODAY and "&amp;'Additional Input'!$D$31&amp;" YEARS into the future."</f>
        <v>Lets look at your estate taxes TODAY and 20 YEARS into the future.</v>
      </c>
      <c r="B26" s="967"/>
      <c r="C26" s="967"/>
      <c r="D26" s="967"/>
      <c r="E26" s="967"/>
      <c r="F26" s="967"/>
      <c r="G26" s="967"/>
      <c r="H26" s="967"/>
      <c r="I26" s="967"/>
      <c r="J26" s="967"/>
      <c r="K26" s="967"/>
      <c r="L26" s="967"/>
      <c r="M26" s="967"/>
      <c r="N26" s="967"/>
      <c r="O26" s="967"/>
      <c r="P26" s="967"/>
    </row>
    <row r="27" spans="1:25" ht="7.5" customHeight="1"/>
    <row r="28" spans="1:25">
      <c r="A28" s="226" t="s">
        <v>425</v>
      </c>
      <c r="B28" s="227"/>
      <c r="C28" s="227"/>
      <c r="D28" s="670">
        <f>'Additional Input'!O13</f>
        <v>5250000</v>
      </c>
      <c r="E28" s="128"/>
      <c r="G28" s="963"/>
      <c r="H28" s="963"/>
      <c r="I28" s="963"/>
      <c r="J28" s="128"/>
      <c r="K28" s="128"/>
      <c r="L28" s="128"/>
      <c r="M28" s="128"/>
      <c r="N28" s="128"/>
      <c r="O28" s="128"/>
      <c r="P28" s="128"/>
      <c r="Q28" s="128"/>
      <c r="R28" s="128"/>
    </row>
    <row r="29" spans="1:25">
      <c r="A29" s="957" t="s">
        <v>424</v>
      </c>
      <c r="B29" s="957"/>
      <c r="C29" s="957"/>
      <c r="D29" s="632">
        <v>0.02</v>
      </c>
      <c r="E29" s="128"/>
      <c r="F29" s="629">
        <f>ROUNDDOWN($D$28*(1+$D$29)^('Additional Input'!$D$31),-4)</f>
        <v>7800000</v>
      </c>
      <c r="G29" s="964"/>
      <c r="H29" s="965"/>
      <c r="I29" s="965"/>
      <c r="J29" s="128"/>
      <c r="K29" s="128"/>
      <c r="L29" s="128"/>
      <c r="M29" s="128"/>
      <c r="N29" s="128"/>
      <c r="O29" s="128"/>
      <c r="P29" s="128"/>
      <c r="Q29" s="128"/>
      <c r="R29" s="128"/>
    </row>
    <row r="30" spans="1:25">
      <c r="A30" s="226" t="s">
        <v>420</v>
      </c>
      <c r="B30" s="227"/>
      <c r="C30" s="227"/>
      <c r="D30" s="558">
        <v>0.4</v>
      </c>
      <c r="E30" s="128"/>
      <c r="F30" s="559"/>
      <c r="G30" s="964"/>
      <c r="H30" s="965"/>
      <c r="I30" s="965"/>
      <c r="J30" s="128"/>
      <c r="K30" s="128"/>
      <c r="L30" s="128"/>
      <c r="M30" s="128"/>
      <c r="N30" s="128"/>
      <c r="O30" s="128"/>
      <c r="P30" s="128"/>
      <c r="Q30" s="128"/>
      <c r="R30" s="128"/>
    </row>
    <row r="31" spans="1:25" ht="9" customHeight="1">
      <c r="A31" s="226"/>
      <c r="B31" s="227"/>
      <c r="C31" s="227"/>
      <c r="D31" s="228"/>
      <c r="E31" s="128"/>
      <c r="F31" s="56"/>
      <c r="G31" s="229"/>
      <c r="H31" s="333"/>
      <c r="I31" s="333"/>
      <c r="J31" s="128"/>
      <c r="K31" s="128"/>
      <c r="L31" s="128"/>
      <c r="M31" s="128"/>
      <c r="N31" s="128"/>
      <c r="O31" s="128"/>
      <c r="P31" s="128"/>
      <c r="Q31" s="128"/>
      <c r="R31" s="128"/>
    </row>
    <row r="32" spans="1:25" ht="21.75" customHeight="1">
      <c r="B32" s="947" t="s">
        <v>121</v>
      </c>
      <c r="C32" s="948"/>
      <c r="D32" s="948"/>
      <c r="E32" s="948"/>
      <c r="F32" s="949"/>
      <c r="G32" s="576"/>
      <c r="H32" s="947" t="str">
        <f>"Proj. Estate &amp; Inheritance Taxes in "&amp;$J$34</f>
        <v>Proj. Estate &amp; Inheritance Taxes in 2033</v>
      </c>
      <c r="I32" s="948"/>
      <c r="J32" s="948"/>
      <c r="K32" s="949"/>
      <c r="L32" s="128"/>
      <c r="M32" s="128"/>
      <c r="N32" s="128"/>
      <c r="O32" s="128"/>
      <c r="P32" s="128"/>
      <c r="Q32" s="1002" t="s">
        <v>465</v>
      </c>
      <c r="R32" s="1003"/>
      <c r="S32" s="1003"/>
      <c r="T32" s="1004"/>
      <c r="U32" s="638"/>
      <c r="V32" s="954" t="s">
        <v>466</v>
      </c>
      <c r="W32" s="955"/>
      <c r="X32" s="955"/>
      <c r="Y32" s="956"/>
    </row>
    <row r="33" spans="1:25" ht="10.5" customHeight="1">
      <c r="B33" s="960" t="str">
        <f>IF(H8&gt;0,"POLICY ADDED BACK FOR 3 YEARS","")</f>
        <v/>
      </c>
      <c r="C33" s="961"/>
      <c r="D33" s="961"/>
      <c r="E33" s="961"/>
      <c r="F33" s="962"/>
      <c r="H33" s="409"/>
      <c r="J33" s="231"/>
      <c r="K33" s="410"/>
      <c r="L33" s="128"/>
      <c r="M33" s="128"/>
      <c r="N33" s="128"/>
      <c r="O33" s="128"/>
      <c r="P33" s="128"/>
      <c r="Q33" s="976" t="s">
        <v>464</v>
      </c>
      <c r="R33" s="977"/>
      <c r="S33" s="977"/>
      <c r="T33" s="978"/>
      <c r="V33" s="976" t="s">
        <v>472</v>
      </c>
      <c r="W33" s="977"/>
      <c r="X33" s="977"/>
      <c r="Y33" s="978"/>
    </row>
    <row r="34" spans="1:25">
      <c r="B34" s="943" t="s">
        <v>224</v>
      </c>
      <c r="C34" s="944"/>
      <c r="D34" s="394">
        <f>'Additional Input'!$N$13</f>
        <v>2013</v>
      </c>
      <c r="F34" s="399" t="str">
        <f>IF('Additional Input'!$N$13&gt;2013,"ERROR","")</f>
        <v/>
      </c>
      <c r="H34" s="943" t="s">
        <v>423</v>
      </c>
      <c r="I34" s="944"/>
      <c r="J34" s="394">
        <f>IF('Additional Input'!$N$13+'Additional Input'!$D$31&lt;2013,2013,'Additional Input'!$N$13+'Additional Input'!$D$31)</f>
        <v>2033</v>
      </c>
      <c r="K34" s="408" t="s">
        <v>273</v>
      </c>
      <c r="L34" s="128"/>
      <c r="M34" s="128"/>
      <c r="N34" s="128"/>
      <c r="O34" s="128"/>
      <c r="P34" s="128"/>
      <c r="Q34" s="1005" t="s">
        <v>223</v>
      </c>
      <c r="R34" s="1006"/>
      <c r="S34" s="698">
        <f>IF('Additional Input'!$N$13+'Additional Input'!$D$31&lt;2013,2013,'Additional Input'!$N$13+'Additional Input'!$D$31)</f>
        <v>2033</v>
      </c>
      <c r="T34" s="675" t="s">
        <v>273</v>
      </c>
      <c r="V34" s="707" t="s">
        <v>223</v>
      </c>
      <c r="W34" s="708"/>
      <c r="X34" s="713">
        <f>IF('Additional Input'!$N$13+'Additional Input'!$D$31&lt;2013,2013,'Additional Input'!$N$13+'Additional Input'!$D$31)</f>
        <v>2033</v>
      </c>
      <c r="Y34" s="678" t="s">
        <v>453</v>
      </c>
    </row>
    <row r="35" spans="1:25">
      <c r="B35" s="945" t="s">
        <v>271</v>
      </c>
      <c r="C35" s="946"/>
      <c r="D35" s="395">
        <f>D24</f>
        <v>14916000</v>
      </c>
      <c r="F35" s="400"/>
      <c r="H35" s="945" t="str">
        <f>IF('Additional Input'!$D$31&lt;$L$35," Proj. Taxable Estate in "&amp;$L$35&amp;" Yrs"," Proj. Taxable Estate in "&amp;'Additional Input'!$D$31&amp;" Yrs")</f>
        <v xml:space="preserve"> Proj. Taxable Estate in 20 Yrs</v>
      </c>
      <c r="I35" s="946"/>
      <c r="J35" s="395">
        <f ca="1">VLOOKUP($F$22,Projections,9)+$J$24</f>
        <v>29748556.258274414</v>
      </c>
      <c r="K35" s="874" t="str">
        <f ca="1">IF(J35&lt;0,"ERROR","")</f>
        <v/>
      </c>
      <c r="L35" s="232">
        <f>2013-'Additional Input'!N13</f>
        <v>0</v>
      </c>
      <c r="M35" s="128"/>
      <c r="N35" s="128"/>
      <c r="O35" s="128"/>
      <c r="P35" s="128"/>
      <c r="Q35" s="973" t="str">
        <f>IF('Additional Input'!$D$31&lt;$L$35," Proj. Estate in "&amp;$L$35&amp;" Yrs"," Proj. Estate in "&amp;'Additional Input'!$D$31&amp;" Yrs")</f>
        <v xml:space="preserve"> Proj. Estate in 20 Yrs</v>
      </c>
      <c r="R35" s="974"/>
      <c r="S35" s="699">
        <f ca="1">VLOOKUP($F$22,DATA3,9)+$J$24-$I$8</f>
        <v>32866847.145501319</v>
      </c>
      <c r="T35" s="676" t="str">
        <f ca="1">IF(S35&lt;0,"ERROR","")</f>
        <v/>
      </c>
      <c r="V35" s="979" t="str">
        <f>IF('Additional Input'!$D$31&lt;$L$35," Proj. Estate in "&amp;$L$35&amp;" Yrs"," Proj. Estate in "&amp;'Additional Input'!$D$31&amp;" Yrs")</f>
        <v xml:space="preserve"> Proj. Estate in 20 Yrs</v>
      </c>
      <c r="W35" s="980"/>
      <c r="X35" s="714">
        <f ca="1">VLOOKUP($F$22,Projections,9)+$J$24</f>
        <v>29748556.258274414</v>
      </c>
      <c r="Y35" s="875" t="str">
        <f ca="1">IF(X35&lt;0,"ERROR","")</f>
        <v/>
      </c>
    </row>
    <row r="36" spans="1:25">
      <c r="B36" s="958" t="s">
        <v>266</v>
      </c>
      <c r="C36" s="959"/>
      <c r="D36" s="129">
        <f>VLOOKUP(0,Projections,6)</f>
        <v>0</v>
      </c>
      <c r="F36" s="401"/>
      <c r="H36" s="958" t="str">
        <f>IF('Additional Input'!$D$31&lt;$L$35," IRD in "&amp;$L$35&amp;" Yrs"," IRD in "&amp;'Additional Input'!$D$31&amp;" Yrs")</f>
        <v xml:space="preserve"> IRD in 20 Yrs</v>
      </c>
      <c r="I36" s="959"/>
      <c r="J36" s="129">
        <f ca="1">VLOOKUP($F$22,Projections,6)</f>
        <v>0</v>
      </c>
      <c r="K36" s="403"/>
      <c r="L36" s="952" t="s">
        <v>294</v>
      </c>
      <c r="M36" s="952"/>
      <c r="N36" s="952"/>
      <c r="O36" s="953"/>
      <c r="P36" s="128"/>
      <c r="Q36" s="973" t="str">
        <f>IF('Additional Input'!$D$31&lt;$L$35," IRD in "&amp;$L$35&amp;" Yrs"," IRD in "&amp;'Additional Input'!$D$31&amp;" Yrs")</f>
        <v xml:space="preserve"> IRD in 20 Yrs</v>
      </c>
      <c r="R36" s="974"/>
      <c r="S36" s="700">
        <f ca="1">VLOOKUP($F$22,DATA3,6)</f>
        <v>0</v>
      </c>
      <c r="T36" s="677"/>
      <c r="V36" s="979" t="str">
        <f>IF('Additional Input'!$D$31&lt;$L$35," IRD in "&amp;$L$35&amp;" Yrs"," IRD in "&amp;'Additional Input'!$D$31&amp;" Yrs")</f>
        <v xml:space="preserve"> IRD in 20 Yrs</v>
      </c>
      <c r="W36" s="980"/>
      <c r="X36" s="701">
        <f ca="1">VLOOKUP('Additional Input'!$D$31,Projections,6)</f>
        <v>0</v>
      </c>
      <c r="Y36" s="686"/>
    </row>
    <row r="37" spans="1:25">
      <c r="B37" s="945" t="s">
        <v>421</v>
      </c>
      <c r="C37" s="984"/>
      <c r="D37" s="357">
        <f>IF($D$35-($D$5*K5)&lt;$D$28,$D$35-($D$5*$K$5),$D$28)</f>
        <v>5250000</v>
      </c>
      <c r="F37" s="400"/>
      <c r="H37" s="945" t="s">
        <v>421</v>
      </c>
      <c r="I37" s="984"/>
      <c r="J37" s="357">
        <f ca="1">IF(J35&lt;0,0,IF($J$35-(($J$35-(VLOOKUP($F$22,Projections,9)-VLOOKUP($F$22,Projections,8))*(1-$K$5)))+D7+D8&lt;$F$29,$J$35-(($J$35-(VLOOKUP($F$22,Projections,9)-VLOOKUP($F$22,Projections,8))*(1-$K$5)))+D7+D8,$F$29))</f>
        <v>7800000</v>
      </c>
      <c r="K37" s="403">
        <f>$D$29</f>
        <v>0.02</v>
      </c>
      <c r="L37" s="233" t="s">
        <v>295</v>
      </c>
      <c r="M37" s="233" t="s">
        <v>296</v>
      </c>
      <c r="N37" s="234" t="s">
        <v>297</v>
      </c>
      <c r="O37" s="234" t="s">
        <v>298</v>
      </c>
      <c r="P37" s="128"/>
      <c r="Q37" s="973" t="s">
        <v>421</v>
      </c>
      <c r="R37" s="974"/>
      <c r="S37" s="701">
        <f ca="1">IF(S35&lt;0,0,IF($S$35-(($S$35-(VLOOKUP($F$22,DATA3,9)-VLOOKUP($F$22,DATA3,8))*(1-$K$5)))+D7+D8&lt;$F$29,$S$35-(($S$35-(VLOOKUP($F$22,DATA3,9)-VLOOKUP($F$22,DATA3,8))*(1-$K$5)))+D7+D8,$F$29))</f>
        <v>7800000</v>
      </c>
      <c r="T37" s="677">
        <f>$D$29</f>
        <v>0.02</v>
      </c>
      <c r="V37" s="979" t="s">
        <v>4</v>
      </c>
      <c r="W37" s="980"/>
      <c r="X37" s="701">
        <f ca="1">IF(X35&lt;0,0,IF($X$35-(($X$35-(VLOOKUP($F$22,Projections,9)-VLOOKUP($F$22,Projections,8))*(1-$K$5)))+D7+D8&lt;1000000,$X$35-(($X$35-(VLOOKUP($F$22,Projections,9)-VLOOKUP($F$22,Projections,8))*(1-$K$5)))+D7+D8,1000000))</f>
        <v>1000000</v>
      </c>
      <c r="Y37" s="686">
        <v>0</v>
      </c>
    </row>
    <row r="38" spans="1:25">
      <c r="B38" s="945" t="str">
        <f>IF(Calculator!$D$10=TRUE," Spouse's Estate"," Taxable Estate")</f>
        <v xml:space="preserve"> Spouse's Estate</v>
      </c>
      <c r="C38" s="946"/>
      <c r="D38" s="396">
        <f>IF(Calculator!$D$10=TRUE,D35-D37,D35)</f>
        <v>9666000</v>
      </c>
      <c r="F38" s="402" t="s">
        <v>8</v>
      </c>
      <c r="H38" s="945" t="str">
        <f>IF(Calculator!$D$10=TRUE," Spouse's Estate"," Taxable Estate")</f>
        <v xml:space="preserve"> Spouse's Estate</v>
      </c>
      <c r="I38" s="946"/>
      <c r="J38" s="396">
        <f ca="1">IF(Calculator!$D$10=TRUE,$J$35-$J$37,$J$35)</f>
        <v>21948556.258274414</v>
      </c>
      <c r="K38" s="402" t="s">
        <v>8</v>
      </c>
      <c r="L38" s="950" t="s">
        <v>188</v>
      </c>
      <c r="M38" s="950"/>
      <c r="N38" s="950"/>
      <c r="O38" s="951"/>
      <c r="P38" s="235"/>
      <c r="Q38" s="973" t="str">
        <f>IF(Calculator!$D$10=TRUE," Spouse's Estate"," Taxable Estate")</f>
        <v xml:space="preserve"> Spouse's Estate</v>
      </c>
      <c r="R38" s="974"/>
      <c r="S38" s="702">
        <f ca="1">IF(Calculator!$D$10=TRUE,$S$35-$S$37,$S$35)</f>
        <v>25066847.145501319</v>
      </c>
      <c r="T38" s="678" t="s">
        <v>8</v>
      </c>
      <c r="V38" s="709" t="str">
        <f>IF(Calculator!$D$10=TRUE," Spouse's Estate"," Taxable Estate")</f>
        <v xml:space="preserve"> Spouse's Estate</v>
      </c>
      <c r="W38" s="710"/>
      <c r="X38" s="715">
        <f ca="1">IF(Calculator!$D$10=TRUE,$X$35-$X$37,$X$35)</f>
        <v>28748556.258274414</v>
      </c>
      <c r="Y38" s="678" t="s">
        <v>8</v>
      </c>
    </row>
    <row r="39" spans="1:25">
      <c r="B39" s="945" t="str">
        <f>" "&amp;Calculator!$D$13&amp;" Estate Tax "</f>
        <v xml:space="preserve"> FL Estate Tax </v>
      </c>
      <c r="C39" s="984"/>
      <c r="D39" s="56">
        <f>VLOOKUP(Calculator!$D$13,States,12,FALSE)</f>
        <v>0</v>
      </c>
      <c r="F39" s="403">
        <f t="shared" ref="F39:F45" si="2">IF($D$35=0,0,D39/$D$35)</f>
        <v>0</v>
      </c>
      <c r="H39" s="945" t="str">
        <f>" "&amp;Calculator!$D$13&amp;" Estate Tax"</f>
        <v xml:space="preserve"> FL Estate Tax</v>
      </c>
      <c r="I39" s="984"/>
      <c r="J39" s="56">
        <f>VLOOKUP(Calculator!$D$13,States,13,FALSE)</f>
        <v>0</v>
      </c>
      <c r="K39" s="403">
        <f t="shared" ref="K39:K45" ca="1" si="3">IF($J$35=0,0,J39/$J$35)</f>
        <v>0</v>
      </c>
      <c r="L39" s="398">
        <f ca="1">IF(Calculator!$X$35&lt;=1000000,0,VLOOKUP(IF(Calculator!$D$10=TRUE,IF(Calculator!$D$14=TRUE,Calculator!$X$35-1000000,Calculator!$X$35),Calculator!$X$35),StateTaxes,2)+((IF(Calculator!$D$10=TRUE,IF(Calculator!$D$14=TRUE,Calculator!$X$35-1000000,Calculator!$X$35),Calculator!$X$35)-VLOOKUP(IF(Calculator!$D$10=TRUE,IF(Calculator!$D$14=TRUE,Calculator!$X$35-1000000,Calculator!$X$35),Calculator!$X$35),StateTaxes,1))*VLOOKUP(IF(Calculator!$D$10=TRUE,IF(Calculator!$D$14=TRUE,Calculator!$X$35-1000000,Calculator!$X$35),Calculator!$X$35),StateTaxes,3)))</f>
        <v>4066569.0013239062</v>
      </c>
      <c r="M39" s="236">
        <f ca="1">IF(NOW()&gt;'Additional Input'!$P$13,"Expired",VLOOKUP(IF(Calculator!$D$10=TRUE,$X$35-$X$37,$X$35),ETable2,3)+(IF(Calculator!$D$10=TRUE,$X$35-$X$37,$X$35)-VLOOKUP(IF(Calculator!$D$10=TRUE,$X$35-$X$37,$X$35),ETable2,1))*VLOOKUP(IF(Calculator!$D$10=TRUE,$X$35-$X$37,$X$35),ETable2,4))+IF((VLOOKUP($X$37,ETable2,3)+($X$37-VLOOKUP($X$37,ETable2,1))*VLOOKUP($X$37,ETable2,4))&gt;$X$41,-$X$41,(VLOOKUP($X$37,ETable2,3)+($X$37-VLOOKUP($X$37,ETable2,1))*VLOOKUP($X$37,ETable2,4))*-1)</f>
        <v>15465905.942050928</v>
      </c>
      <c r="N39" s="236">
        <f ca="1">IF(L39&gt;M39,M39,L39)</f>
        <v>4066569.0013239062</v>
      </c>
      <c r="O39" s="237">
        <f ca="1">MIN(N39,$X$39+$X$40)</f>
        <v>4066569.0013239062</v>
      </c>
      <c r="P39" s="238"/>
      <c r="Q39" s="973" t="str">
        <f>" "&amp;Calculator!$D$13&amp;" Estate Tax*"</f>
        <v xml:space="preserve"> FL Estate Tax*</v>
      </c>
      <c r="R39" s="974"/>
      <c r="S39" s="700">
        <f ca="1">IF(J38=0,0,VLOOKUP(Calculator!$D$13,States,13,FALSE)*(S38/J38))</f>
        <v>0</v>
      </c>
      <c r="T39" s="677">
        <f t="shared" ref="T39:T45" ca="1" si="4">IF($J$35=0,0,S39/$J$35)</f>
        <v>0</v>
      </c>
      <c r="V39" s="979" t="str">
        <f>" "&amp;Calculator!$D$13&amp;" Estate Tax"</f>
        <v xml:space="preserve"> FL Estate Tax</v>
      </c>
      <c r="W39" s="980"/>
      <c r="X39" s="716">
        <f ca="1">IF(IF(VLOOKUP(Calculator!$D$13,States,4,FALSE)="Pickup",MAX(VLOOKUP(Calculator!$D$13,States,13,FALSE),$N$39),VLOOKUP(Calculator!$D$13,States,13,FALSE))-$X$40&lt;0,0,IF(VLOOKUP(Calculator!$D$13,States,4,FALSE)="Pickup",MAX(VLOOKUP(Calculator!$D$13,States,13,FALSE),$N$39),VLOOKUP(Calculator!$D$13,States,13,FALSE))-$X$40)</f>
        <v>4066569.0013239062</v>
      </c>
      <c r="Y39" s="686">
        <f t="shared" ref="Y39:Y45" ca="1" si="5">IF($X$35=0,0,X39/$X$35)</f>
        <v>0.13669802883939317</v>
      </c>
    </row>
    <row r="40" spans="1:25">
      <c r="B40" s="945" t="str">
        <f>" "&amp;Calculator!$D$13&amp;" Inheritance Tax"</f>
        <v xml:space="preserve"> FL Inheritance Tax</v>
      </c>
      <c r="C40" s="984"/>
      <c r="D40" s="56">
        <f>VLOOKUP(Calculator!$D$13,States,14,FALSE)</f>
        <v>0</v>
      </c>
      <c r="F40" s="403">
        <f t="shared" si="2"/>
        <v>0</v>
      </c>
      <c r="H40" s="945" t="str">
        <f>" "&amp;Calculator!$D$13&amp;" Inheritance Tax"</f>
        <v xml:space="preserve"> FL Inheritance Tax</v>
      </c>
      <c r="I40" s="984"/>
      <c r="J40" s="56">
        <f>VLOOKUP(Calculator!$D$13,States,15,FALSE)</f>
        <v>0</v>
      </c>
      <c r="K40" s="403">
        <f t="shared" ca="1" si="3"/>
        <v>0</v>
      </c>
      <c r="L40" s="239">
        <f ca="1">-X42</f>
        <v>4412369.0013239067</v>
      </c>
      <c r="M40" s="240">
        <f ca="1">X41</f>
        <v>15811705.942050928</v>
      </c>
      <c r="N40" s="241"/>
      <c r="O40" s="242" t="s">
        <v>328</v>
      </c>
      <c r="P40" s="128"/>
      <c r="Q40" s="973" t="str">
        <f>" "&amp;Calculator!$D$13&amp;" Inheritance Tax*"</f>
        <v xml:space="preserve"> FL Inheritance Tax*</v>
      </c>
      <c r="R40" s="974"/>
      <c r="S40" s="700">
        <f ca="1">IF(J38=0,0,VLOOKUP(Calculator!$D$13,States,15,FALSE)*(S38/J38))</f>
        <v>0</v>
      </c>
      <c r="T40" s="677">
        <f t="shared" ca="1" si="4"/>
        <v>0</v>
      </c>
      <c r="V40" s="979" t="str">
        <f>" "&amp;Calculator!$D$13&amp;" Inheritance Tax"</f>
        <v xml:space="preserve"> FL Inheritance Tax</v>
      </c>
      <c r="W40" s="980"/>
      <c r="X40" s="701">
        <f>VLOOKUP(Calculator!$D$13,States,15,FALSE)</f>
        <v>0</v>
      </c>
      <c r="Y40" s="686">
        <f t="shared" ca="1" si="5"/>
        <v>0</v>
      </c>
    </row>
    <row r="41" spans="1:25">
      <c r="B41" s="945" t="s">
        <v>174</v>
      </c>
      <c r="C41" s="984"/>
      <c r="D41" s="243">
        <f ca="1">IF(NOW()&gt;'Additional Input'!$P$13,"Expired",VLOOKUP(IF(Calculator!$D$10=TRUE,IF($D$35-$D$37-$D$39-$D$40&lt;0,0,$D$35-$D$37-$D$39-$D$40),$D$35-$D$39-$D$40),ETable1,2)+(IF(Calculator!$D$10=TRUE,IF($D$35-$D$37-$D$39-$D$40&lt;0,0,$D$35-$D$37-$D$39-$D$40),$D$35-$D$39-$D$40)-VLOOKUP(IF(Calculator!$D$10=TRUE,IF($D$35-$D$37-$D$39-$D$40&lt;0,0,$D$35-$D$37-$D$39-$D$40),$D$35-$D$39-$D$40),ETable1,1))*VLOOKUP(IF(Calculator!$D$10=TRUE,IF($D$35-$D$37-$D$39-$D$40&lt;0,0,$D$35-$D$37-$D$39-$D$40),$D$35-$D$39-$D$40),ETable1,3))</f>
        <v>3812200</v>
      </c>
      <c r="F41" s="403">
        <f t="shared" ca="1" si="2"/>
        <v>0.25557790292303567</v>
      </c>
      <c r="H41" s="945" t="s">
        <v>174</v>
      </c>
      <c r="I41" s="984"/>
      <c r="J41" s="243">
        <f ca="1">IF(NOW()&gt;'Additional Input'!$P$13,"Expired",VLOOKUP(IF(Calculator!$D$10=TRUE,IF($J$35-$J$37-$J$39-$J$40&lt;0,0,$J$35-$J$37-$J$39-$J$40),$J$35-$J$39-$J$40),ETable3,2)+(IF(Calculator!$D$10=TRUE,IF($J$35-$J$37-$J$39-$J$40&lt;0,0,$J$35-$J$37-$J$39-$J$40),$J$35-$J$39-$J$40)-VLOOKUP(IF(Calculator!$D$10=TRUE,IF($J$35-$J$37-$J$39-$J$40&lt;0,0,$J$35-$J$37-$J$39-$J$40),$J$35-$J$39-$J$40),ETable3,1))*VLOOKUP(IF(Calculator!$D$10=TRUE,IF($J$35-$J$37-$J$39-$J$40&lt;0,0,$J$35-$J$37-$J$39-$J$40),$J$35-$J$39-$J$40),ETable3,4))</f>
        <v>8725222.5033097658</v>
      </c>
      <c r="K41" s="403">
        <f t="shared" ca="1" si="3"/>
        <v>0.29329902357472853</v>
      </c>
      <c r="L41" s="240">
        <f ca="1">$X$42+$X$39</f>
        <v>-345800.00000000047</v>
      </c>
      <c r="M41" s="240">
        <f ca="1">$X$42+$X$39</f>
        <v>-345800.00000000047</v>
      </c>
      <c r="N41" s="241"/>
      <c r="O41" s="241"/>
      <c r="P41" s="128"/>
      <c r="Q41" s="973" t="s">
        <v>174</v>
      </c>
      <c r="R41" s="974"/>
      <c r="S41" s="703">
        <f ca="1">IF(NOW()&gt;'Additional Input'!$P$13,"Expired",VLOOKUP(IF(Calculator!$D$10=TRUE,IF($S$35-$S$37-$S$39-$S$40&lt;0,0,$S$35-$S$37-$J$39-$S$40),$S$35-$S$39-$S$40),ETable3,2)+(IF(Calculator!$D$10=TRUE,IF($S$35-$S$37-$S$39-$S$40&lt;0,0,$S$35-$S$37-$S$39-$S$40),$S$35-$S$39-$S$40)-VLOOKUP(IF(Calculator!$D$10=TRUE,IF($S$35-$S$37-$S$39-$S$40&lt;0,0,$S$35-$S$37-$S$39-$S$40),$S$35-$S$39-$S$40),ETable3,1))*VLOOKUP(IF(Calculator!$D$10=TRUE,IF($S$35-$S$37-$S$39-$S$40&lt;0,0,$S$35-$S$37-$S$39-$S$40),$S$35-$S$39-$S$40),ETable3,4))</f>
        <v>9972538.8582005277</v>
      </c>
      <c r="T41" s="677">
        <f t="shared" ca="1" si="4"/>
        <v>0.33522765849945124</v>
      </c>
      <c r="V41" s="979" t="s">
        <v>174</v>
      </c>
      <c r="W41" s="980"/>
      <c r="X41" s="717">
        <f ca="1">IF(NOW()&gt;'Additional Input'!$P$13,"Expired",VLOOKUP(IF(Calculator!$D$10=TRUE,$X$35-$X$37,$X$35),ETable2,3)+(IF(Calculator!$D$10=TRUE,$X$35-$X$37,$X$35)-VLOOKUP(IF(Calculator!$D$10=TRUE,$X$35-$X$37,$X$35),ETable2,1))*VLOOKUP(IF(Calculator!$D$10=TRUE,$X$35-$X$37,$X$35),ETable2,4))</f>
        <v>15811705.942050928</v>
      </c>
      <c r="Y41" s="686">
        <f t="shared" ca="1" si="5"/>
        <v>0.53151170782121504</v>
      </c>
    </row>
    <row r="42" spans="1:25">
      <c r="B42" s="945" t="s">
        <v>7</v>
      </c>
      <c r="C42" s="984"/>
      <c r="D42" s="244">
        <f ca="1">IF((VLOOKUP(IF($D$38&lt;=$D$28,$D$38,$D$37),ETable1,2)+(IF($D$38&lt;=$D$28,$D$38,$D$37)-VLOOKUP(IF($D$38&lt;=$D$28,$D$38,$D$37),ETable1,1))*VLOOKUP(IF($D$38&lt;=$D$28,$D$38,$D$37),ETable1,3))&gt;$D$41,-$D$41,(VLOOKUP(IF($D$38&lt;=$D$28,$D$38,$D$37),ETable1,2)+(IF($D$38&lt;=$D$28,$D$38,$D$37)-VLOOKUP(IF($D$38&lt;=$D$28,$D$38,$D$37),ETable1,1))*VLOOKUP(IF($D$38&lt;=$D$28,$D$38,$D$37),ETable1,3))*-1)</f>
        <v>-2045800</v>
      </c>
      <c r="F42" s="404">
        <f t="shared" ca="1" si="2"/>
        <v>-0.13715473317243229</v>
      </c>
      <c r="H42" s="945" t="s">
        <v>7</v>
      </c>
      <c r="I42" s="984"/>
      <c r="J42" s="244">
        <f ca="1">IF((VLOOKUP(IF(J38&lt;=$F$29,J38,$J$37),ETable3,2)+(IF(J38&lt;=$F$29,J38,$J$37)-VLOOKUP(IF(J38&lt;=$F$29,J38,$J$37),ETable3,1))*VLOOKUP(IF(J38&lt;=$F$29,J38,$J$37),ETable3,4))&gt;$J$41,-$J$41,(VLOOKUP(IF(J38&lt;=$F$29,J38,$J$37),ETable3,2)+(IF(J38&lt;=$F$29,J38,$J$37)-VLOOKUP(IF(J38&lt;=$F$29,J38,$J$37),ETable3,1))*VLOOKUP(IF(J38&lt;=$F$29,J38,$J$37),ETable3,4))*-1)</f>
        <v>-3065800</v>
      </c>
      <c r="K42" s="404">
        <f t="shared" ca="1" si="3"/>
        <v>-0.10305710211221639</v>
      </c>
      <c r="L42" s="240">
        <f ca="1">L40+L41</f>
        <v>4066569.0013239062</v>
      </c>
      <c r="M42" s="240">
        <f ca="1">M40+M41</f>
        <v>15465905.942050928</v>
      </c>
      <c r="N42" s="241"/>
      <c r="O42" s="241"/>
      <c r="P42" s="128"/>
      <c r="Q42" s="973" t="s">
        <v>7</v>
      </c>
      <c r="R42" s="974"/>
      <c r="S42" s="704">
        <f ca="1">IF((VLOOKUP(IF(S38&lt;=$F$29,S38,S37),ETable3,2)+(IF(S38&lt;=$F$29,S38,S37)-VLOOKUP(IF(S38&lt;=$F$29,S38,S37),ETable3,1))*VLOOKUP(IF(S38&lt;=$F$29,S38,S37),ETable3,4))&gt;$S$41,-$S$41,(VLOOKUP(IF(S38&lt;=$F$29,S38,S37),ETable3,2)+(IF(S38&lt;=$F$29,S38,S37)-VLOOKUP(IF(S38&lt;=$F$29,S38,S37),ETable3,1))*VLOOKUP(IF(S38&lt;=$F$29,S38,S37),ETable3,4))*-1)</f>
        <v>-3065800</v>
      </c>
      <c r="T42" s="679">
        <f t="shared" ca="1" si="4"/>
        <v>-0.10305710211221639</v>
      </c>
      <c r="V42" s="979" t="s">
        <v>344</v>
      </c>
      <c r="W42" s="980"/>
      <c r="X42" s="718">
        <f ca="1">IF((VLOOKUP($X$37,ETable2,3)+($X$37-VLOOKUP($X$37,ETable2,1))*VLOOKUP($X$37,ETable2,4))&gt;$X$41,-$X$41,(VLOOKUP($X$37,ETable2,3)+($X$37-VLOOKUP($X$37,ETable2,1))*VLOOKUP($X$37,ETable2,4))*-1)-$O$39</f>
        <v>-4412369.0013239067</v>
      </c>
      <c r="Y42" s="687">
        <f t="shared" ca="1" si="5"/>
        <v>-0.14832212235834566</v>
      </c>
    </row>
    <row r="43" spans="1:25">
      <c r="B43" s="945" t="s">
        <v>422</v>
      </c>
      <c r="C43" s="984"/>
      <c r="D43" s="245">
        <f ca="1">SUM(D41:D42)</f>
        <v>1766400</v>
      </c>
      <c r="F43" s="403">
        <f t="shared" ca="1" si="2"/>
        <v>0.11842316975060338</v>
      </c>
      <c r="H43" s="945" t="s">
        <v>422</v>
      </c>
      <c r="I43" s="984"/>
      <c r="J43" s="245">
        <f ca="1">SUM(J41:J42)</f>
        <v>5659422.5033097658</v>
      </c>
      <c r="K43" s="403">
        <f t="shared" ca="1" si="3"/>
        <v>0.19024192146251218</v>
      </c>
      <c r="L43" s="241"/>
      <c r="M43" s="240"/>
      <c r="N43" s="241"/>
      <c r="O43" s="241"/>
      <c r="P43" s="128"/>
      <c r="Q43" s="973" t="s">
        <v>422</v>
      </c>
      <c r="R43" s="974"/>
      <c r="S43" s="705">
        <f ca="1">SUM(S41:S42)</f>
        <v>6906738.8582005277</v>
      </c>
      <c r="T43" s="677">
        <f t="shared" ca="1" si="4"/>
        <v>0.23217055638723486</v>
      </c>
      <c r="V43" s="709" t="s">
        <v>282</v>
      </c>
      <c r="W43" s="711"/>
      <c r="X43" s="719">
        <f ca="1">SUM(X41:X42)</f>
        <v>11399336.940727022</v>
      </c>
      <c r="Y43" s="686">
        <f t="shared" ca="1" si="5"/>
        <v>0.38318958546286941</v>
      </c>
    </row>
    <row r="44" spans="1:25">
      <c r="B44" s="945" t="s">
        <v>237</v>
      </c>
      <c r="C44" s="984"/>
      <c r="D44" s="243">
        <f ca="1">(D36-D59)*'Additional Input'!$F$12</f>
        <v>0</v>
      </c>
      <c r="F44" s="404">
        <f t="shared" ca="1" si="2"/>
        <v>0</v>
      </c>
      <c r="H44" s="945" t="s">
        <v>237</v>
      </c>
      <c r="I44" s="984"/>
      <c r="J44" s="243">
        <f ca="1">(J36-J59)*'Additional Input'!$F$12</f>
        <v>0</v>
      </c>
      <c r="K44" s="404">
        <f t="shared" ca="1" si="3"/>
        <v>0</v>
      </c>
      <c r="L44" s="241"/>
      <c r="M44" s="241"/>
      <c r="N44" s="241"/>
      <c r="O44" s="241"/>
      <c r="P44" s="128"/>
      <c r="Q44" s="973" t="s">
        <v>237</v>
      </c>
      <c r="R44" s="974"/>
      <c r="S44" s="703">
        <f ca="1">(S36-S59)*'Additional Input'!$F$12</f>
        <v>0</v>
      </c>
      <c r="T44" s="679">
        <f t="shared" ca="1" si="4"/>
        <v>0</v>
      </c>
      <c r="V44" s="979" t="s">
        <v>237</v>
      </c>
      <c r="W44" s="980"/>
      <c r="X44" s="717">
        <f ca="1">(X36-X59)*'Additional Input'!$F$12</f>
        <v>0</v>
      </c>
      <c r="Y44" s="687">
        <f t="shared" ca="1" si="5"/>
        <v>0</v>
      </c>
    </row>
    <row r="45" spans="1:25" ht="18" customHeight="1">
      <c r="B45" s="985" t="s">
        <v>283</v>
      </c>
      <c r="C45" s="986"/>
      <c r="D45" s="397">
        <f ca="1">IF(Calculator!$F$14="ERROR","ERROR",IF('Additional Input'!$N$13&gt;2013,"ERROR",IF(NOW()&gt;'Additional Input'!$P$13,"Expired",IF($D$39+$D$40+$D$41+$D$42+$D$44&lt;0,0,$D$39+$D$40+$D$41+$D$42+$D$44))))</f>
        <v>1766400</v>
      </c>
      <c r="F45" s="403">
        <f t="shared" ca="1" si="2"/>
        <v>0.11842316975060338</v>
      </c>
      <c r="H45" s="985" t="s">
        <v>283</v>
      </c>
      <c r="I45" s="986"/>
      <c r="J45" s="397">
        <f ca="1">IF(Calculator!$F$14="ERROR","ERROR",IF('Additional Input'!$N$13&gt;2013,"ERROR",IF(NOW()&gt;'Additional Input'!$P$13,"Expired",IF($J$39+$J$40+$J$41+$J$42+$J$44&lt;0,0,$J$39+$J$40+$J$41+$J$42+$J$44))))</f>
        <v>5659422.5033097658</v>
      </c>
      <c r="K45" s="403">
        <f t="shared" ca="1" si="3"/>
        <v>0.19024192146251218</v>
      </c>
      <c r="L45" s="128"/>
      <c r="M45" s="128"/>
      <c r="N45" s="128"/>
      <c r="O45" s="128"/>
      <c r="P45" s="128"/>
      <c r="Q45" s="1005" t="s">
        <v>283</v>
      </c>
      <c r="R45" s="1006"/>
      <c r="S45" s="706">
        <f ca="1">IF(Calculator!$F$14="ERROR","ERROR",IF('Additional Input'!$N$13&gt;2013,"ERROR",IF(NOW()&gt;'Additional Input'!$P$13,"Expired",IF($S$39+$S$40+$S$41+$S$42+$S$44&lt;0,0,$S$39+$S$40+$S$41+$S$42+$S$44))))</f>
        <v>6906738.8582005277</v>
      </c>
      <c r="T45" s="677">
        <f t="shared" ca="1" si="4"/>
        <v>0.23217055638723486</v>
      </c>
      <c r="V45" s="712" t="s">
        <v>283</v>
      </c>
      <c r="W45" s="710"/>
      <c r="X45" s="706">
        <f ca="1">IF(Calculator!$F$14="ERROR","ERROR",IF('Additional Input'!$N$13&gt;2013,"ERROR",IF(NOW()&gt;'Additional Input'!$P$13,"Expired",IF($X$39+$X$40+$X$41+$X$42+$X$44&lt;0,0,$X$39+$X$40+$X$41+$X$42+$X$44))))</f>
        <v>15465905.942050928</v>
      </c>
      <c r="Y45" s="686">
        <f t="shared" ca="1" si="5"/>
        <v>0.5198876143022626</v>
      </c>
    </row>
    <row r="46" spans="1:25" ht="10.5" customHeight="1">
      <c r="B46" s="405"/>
      <c r="C46" s="574"/>
      <c r="D46" s="575"/>
      <c r="E46" s="575"/>
      <c r="F46" s="407"/>
      <c r="H46" s="405"/>
      <c r="I46" s="406"/>
      <c r="J46" s="575"/>
      <c r="K46" s="407"/>
      <c r="L46" s="128"/>
      <c r="M46" s="128"/>
      <c r="N46" s="128"/>
      <c r="O46" s="128"/>
      <c r="P46" s="128"/>
      <c r="Q46" s="696"/>
      <c r="R46" s="697"/>
      <c r="S46" s="680"/>
      <c r="T46" s="681"/>
      <c r="V46" s="641"/>
      <c r="W46" s="642"/>
      <c r="X46" s="643"/>
      <c r="Y46" s="688"/>
    </row>
    <row r="47" spans="1:25" ht="10.5" customHeight="1">
      <c r="A47" s="230"/>
      <c r="B47" s="230"/>
      <c r="C47" s="230"/>
      <c r="D47" s="230"/>
      <c r="E47" s="230"/>
      <c r="F47" s="230"/>
      <c r="G47" s="230"/>
      <c r="H47" s="230"/>
      <c r="I47" s="230"/>
      <c r="J47" s="230"/>
      <c r="K47" s="230"/>
      <c r="L47" s="128"/>
      <c r="M47" s="128"/>
      <c r="N47" s="128"/>
      <c r="O47" s="128"/>
      <c r="P47" s="128"/>
      <c r="Q47" s="991" t="s">
        <v>471</v>
      </c>
      <c r="R47" s="991"/>
      <c r="S47" s="991"/>
      <c r="T47" s="991"/>
    </row>
    <row r="48" spans="1:25" ht="53.25" customHeight="1">
      <c r="A48" s="983" t="s">
        <v>243</v>
      </c>
      <c r="B48" s="983"/>
      <c r="C48" s="983"/>
      <c r="D48" s="983"/>
      <c r="E48" s="983"/>
      <c r="F48" s="983"/>
      <c r="G48" s="983"/>
      <c r="H48" s="983"/>
      <c r="I48" s="983"/>
      <c r="J48" s="983"/>
      <c r="K48" s="983"/>
      <c r="L48" s="983"/>
      <c r="M48" s="983"/>
      <c r="N48" s="983"/>
      <c r="O48" s="983"/>
      <c r="P48" s="983"/>
      <c r="Q48" s="992"/>
      <c r="R48" s="992"/>
      <c r="S48" s="992"/>
      <c r="T48" s="992"/>
    </row>
    <row r="49" spans="1:24" ht="26.25" customHeight="1">
      <c r="A49" s="982" t="s">
        <v>267</v>
      </c>
      <c r="B49" s="982"/>
      <c r="C49" s="982"/>
      <c r="D49" s="982"/>
      <c r="E49" s="982"/>
      <c r="F49" s="982"/>
      <c r="G49" s="982"/>
      <c r="H49" s="982"/>
      <c r="I49" s="982"/>
      <c r="J49" s="982"/>
      <c r="K49" s="982"/>
      <c r="L49" s="982"/>
      <c r="M49" s="982"/>
      <c r="N49" s="982"/>
      <c r="O49" s="982"/>
      <c r="P49" s="982"/>
      <c r="Q49" s="128"/>
      <c r="R49" s="128"/>
    </row>
    <row r="50" spans="1:24" ht="10.5" customHeight="1">
      <c r="A50" s="987"/>
      <c r="B50" s="988"/>
      <c r="C50" s="988"/>
      <c r="D50" s="988"/>
      <c r="E50" s="988"/>
      <c r="F50" s="988"/>
      <c r="G50" s="988"/>
      <c r="H50" s="988"/>
      <c r="I50" s="988"/>
      <c r="J50" s="246"/>
      <c r="L50" s="128"/>
      <c r="M50" s="128"/>
      <c r="N50" s="128"/>
      <c r="O50" s="128"/>
      <c r="P50" s="128"/>
      <c r="Q50" s="128"/>
      <c r="R50" s="128"/>
    </row>
    <row r="51" spans="1:24" ht="25.5" customHeight="1">
      <c r="A51" s="335" t="s">
        <v>525</v>
      </c>
      <c r="B51" s="128"/>
      <c r="C51" s="128"/>
      <c r="D51" s="128"/>
      <c r="E51" s="128"/>
      <c r="F51" s="128"/>
      <c r="G51" s="128"/>
      <c r="H51" s="128"/>
      <c r="I51" s="128"/>
      <c r="J51" s="128"/>
      <c r="K51" s="128"/>
      <c r="L51" s="128"/>
      <c r="M51" s="128"/>
      <c r="N51" s="128"/>
      <c r="O51" s="128"/>
      <c r="P51" s="128"/>
      <c r="Q51" s="128"/>
      <c r="R51" s="128"/>
    </row>
    <row r="52" spans="1:24">
      <c r="A52" s="128"/>
      <c r="B52" s="128"/>
      <c r="C52" s="128"/>
      <c r="D52" s="247"/>
      <c r="E52" s="128"/>
      <c r="F52" s="128"/>
      <c r="G52" s="128"/>
      <c r="H52" s="128"/>
      <c r="I52" s="128"/>
      <c r="J52" s="128"/>
      <c r="K52" s="128"/>
      <c r="L52" s="128"/>
      <c r="M52" s="128"/>
      <c r="N52" s="989" t="s">
        <v>294</v>
      </c>
      <c r="O52" s="990"/>
      <c r="P52" s="128"/>
      <c r="Q52" s="128"/>
      <c r="R52" s="128"/>
    </row>
    <row r="53" spans="1:24" ht="24" hidden="1" customHeight="1">
      <c r="A53" s="993" t="s">
        <v>260</v>
      </c>
      <c r="B53" s="994"/>
      <c r="C53" s="995"/>
      <c r="D53" s="845">
        <f ca="1">IF(NOW()&gt;'Additional Input'!$P$13,"Expired",VLOOKUP(IF(Calculator!$D$10=TRUE,IF($D$35-$D$37-$D$39-$D$40&lt;0,0,$D$35-$D$37-$D$39-$D$40),$D$35-$D$39-$D$40),ETable1,2)+(IF(Calculator!$D$10=TRUE,IF($D$35-$D$37-$D$39-$D$40&lt;0,0,$D$35-$D$37-$D$39-$D$40),$D$35-$D$39-$D$40)-VLOOKUP(IF(Calculator!$D$10=TRUE,IF($D$35-$D$37-$D$39-$D$40&lt;0,0,$D$35-$D$37-$D$39-$D$40),$D$35-$D$39-$D$40),ETable1,1))*VLOOKUP(IF(Calculator!$D$10=TRUE,IF($D$35-$D$37-$D$39-$D$40&lt;0,0,$D$35-$D$37-$D$39-$D$40),$D$35-$D$39-$D$40),ETable1,3))</f>
        <v>3812200</v>
      </c>
      <c r="E53" s="556"/>
      <c r="F53" s="215"/>
      <c r="G53" s="249"/>
      <c r="H53" s="198"/>
      <c r="I53" s="332"/>
      <c r="J53" s="248">
        <f ca="1">IF(NOW()&gt;'Additional Input'!$P$13,"Expired",VLOOKUP(IF(Calculator!$D$10=TRUE,IF($J$35-$J$37-$J$39-$J$40&lt;0,0,$J$35-$J$37-$J$39-$J$40),$J$35-$J$39-$J$40),ETable3,2)+(IF(Calculator!$D$10=TRUE,IF($J$35-$J$37-$J$39-$J$40&lt;0,0,$J$35-$J$37-$J$39-$J$40),$J$35-$J$39-$J$40)-VLOOKUP(IF(Calculator!$D$10=TRUE,IF($J$35-$J$37-$J$39-$J$40&lt;0,0,$J$35-$J$37-$J$39-$J$40),$J$35-$J$39-$J$40),ETable3,1))*VLOOKUP(IF(Calculator!$D$10=TRUE,IF($J$35-$J$37-$J$39-$J$40&lt;0,0,$J$35-$J$37-$J$39-$J$40),$J$35-$J$39-$J$40),ETable3,4))</f>
        <v>8725222.5033097658</v>
      </c>
      <c r="K53" s="250"/>
      <c r="L53" s="981" t="s">
        <v>188</v>
      </c>
      <c r="M53" s="950"/>
      <c r="N53" s="950"/>
      <c r="O53" s="951"/>
      <c r="P53" s="128"/>
      <c r="Q53" s="128"/>
      <c r="R53" s="128"/>
      <c r="S53" s="248">
        <f ca="1">IF(NOW()&gt;'Additional Input'!$P$13,"Expired",VLOOKUP(IF(Calculator!$D$10=TRUE,IF($S$35-$S$37-$S$39-$S$40&lt;0,0,$S$35-$S$37-$S$39-$S$40),$S$35-$S$39-$S$40),ETable3,2)+(IF(Calculator!$D$10=TRUE,IF($S$35-$S$37-$S$39-$S$40&lt;0,0,$S$35-$S$37-$S$39-$S$40),$S$35-$S$39-$S$40)-VLOOKUP(IF(Calculator!$D$10=TRUE,IF($S$35-$S$37-$S$39-$S$40&lt;0,0,$S$35-$S$37-$S$39-$S$40),$S$35-$S$39-$S$40),ETable3,1))*VLOOKUP(IF(Calculator!$D$10=TRUE,IF($S$35-$S$37-$S$39-$S$40&lt;0,0,$S$35-$S$37-$S$39-$S$40),$S$35-$S$39-$S$40),ETable3,4))</f>
        <v>9972538.8582005277</v>
      </c>
      <c r="X53" s="248">
        <f ca="1">IF(NOW()&gt;'Additional Input'!$P$13,"Expired",VLOOKUP(IF(Calculator!$D$10=TRUE,$X$35-$X$37,$X$35),ETable2,3)+(IF(Calculator!$D$10=TRUE,$X$35-$X$37,$X$35)-VLOOKUP(IF(Calculator!$D$10=TRUE,$X$35-$X$37,$X$35),ETable2,1))*VLOOKUP(IF(Calculator!$D$10=TRUE,$X$35-$X$37,$X$35),ETable2,4))</f>
        <v>15811705.942050928</v>
      </c>
    </row>
    <row r="54" spans="1:24" hidden="1">
      <c r="A54" s="993" t="s">
        <v>262</v>
      </c>
      <c r="B54" s="994"/>
      <c r="C54" s="995"/>
      <c r="D54" s="846">
        <f ca="1">IF((VLOOKUP($D$37,ETable1,2)+($D$37-VLOOKUP($D$37,ETable1,1))*VLOOKUP($D$37,ETable1,3))&gt;$D$41,-$D$41,(VLOOKUP($D$37,ETable1,2)+($D$37-VLOOKUP($D$37,ETable1,1))*VLOOKUP($D$37,ETable1,3))*-1)</f>
        <v>-2045800</v>
      </c>
      <c r="E54" s="332"/>
      <c r="F54" s="215"/>
      <c r="G54" s="249"/>
      <c r="H54" s="198"/>
      <c r="I54" s="332"/>
      <c r="J54" s="251">
        <f ca="1">IF((VLOOKUP($J$37,ETable3,2)+($J$37-VLOOKUP($J$37,ETable3,1))*VLOOKUP($J$37,ETable3,4))&gt;$J$41,-$J$41,(VLOOKUP($J$37,ETable3,2)+($J$37-VLOOKUP($J$37,ETable3,1))*VLOOKUP($J$37,ETable3,4))*-1)</f>
        <v>-3065800</v>
      </c>
      <c r="K54" s="250"/>
      <c r="L54" s="252">
        <f ca="1">IF(Calculator!$X$35&lt;=1000000,0,VLOOKUP(IF(Calculator!$D$10=TRUE,IF(Calculator!$D$14=TRUE,Calculator!$X$35-1000000,Calculator!$X$35),Calculator!$X$35),StateTaxes,2)+((IF(Calculator!$D$10=TRUE,IF(Calculator!$D$14=TRUE,Calculator!$X$35-1000000,Calculator!$X$35),Calculator!$X$35)-VLOOKUP(IF(Calculator!$D$10=TRUE,IF(Calculator!$D$14=TRUE,Calculator!$X$35-1000000,Calculator!$X$35),Calculator!$X$35),StateTaxes,1))*VLOOKUP(IF(Calculator!$D$10=TRUE,IF(Calculator!$D$14=TRUE,Calculator!$X$35-1000000,Calculator!$X$35),Calculator!$X$35),StateTaxes,3)))</f>
        <v>4066569.0013239062</v>
      </c>
      <c r="M54" s="236">
        <f ca="1">IF(NOW()&gt;'Additional Input'!$P$13,"Expired",VLOOKUP(IF(Calculator!$D$10=TRUE,$X$35-$X$37,$X$35),ETable2,3)+(IF(Calculator!$D$10=TRUE,$X$35-$X$37,$X$35)-VLOOKUP(IF(Calculator!$D$10=TRUE,$X$35-$X$37,$X$35),ETable2,1))*VLOOKUP(IF(Calculator!$D$10=TRUE,$X$35-$X$37,$X$35),ETable2,4))+IF((VLOOKUP($X$37,ETable2,3)+($X$37-VLOOKUP($X$37,ETable2,1))*VLOOKUP($X$37,ETable2,4))&gt;$X$53,-$X$53,(VLOOKUP($X$37,ETable2,3)+($X$37-VLOOKUP($X$37,ETable2,1))*VLOOKUP($X$37,ETable2,4))*-1)</f>
        <v>15465905.942050928</v>
      </c>
      <c r="N54" s="236">
        <f ca="1">IF(L54&gt;M54,M54,L54)</f>
        <v>4066569.0013239062</v>
      </c>
      <c r="O54" s="253">
        <f ca="1">MIN(N54,$X39+$X40)</f>
        <v>4066569.0013239062</v>
      </c>
      <c r="P54" s="128"/>
      <c r="Q54" s="128"/>
      <c r="R54" s="128"/>
      <c r="S54" s="251">
        <f ca="1">IF((VLOOKUP($S$37,ETable3,2)+($S$37-VLOOKUP($S$37,ETable3,1))*VLOOKUP($S$37,ETable3,4))&gt;$S$41,-$S$41,(VLOOKUP($S$37,ETable3,2)+($S$37-VLOOKUP($S$37,ETable3,1))*VLOOKUP($S$37,ETable3,4))*-1)</f>
        <v>-3065800</v>
      </c>
      <c r="X54" s="251">
        <f ca="1">IF((VLOOKUP($X$37,ETable2,3)+($X$37-VLOOKUP($X$37,ETable2,1))*VLOOKUP($X$37,ETable2,4))&gt;$X$53,-$X$53,(VLOOKUP($X$37,ETable2,3)+($X$37-VLOOKUP($X$37,ETable2,1))*VLOOKUP($X$37,ETable2,4))*-1)-$O$54</f>
        <v>-4412369.0013239067</v>
      </c>
    </row>
    <row r="55" spans="1:24" hidden="1">
      <c r="A55" s="844"/>
      <c r="C55" s="249"/>
      <c r="D55" s="254"/>
      <c r="E55" s="332"/>
      <c r="F55" s="215"/>
      <c r="G55" s="249"/>
      <c r="H55" s="198"/>
      <c r="I55" s="332"/>
      <c r="J55" s="254"/>
      <c r="K55" s="250"/>
      <c r="L55" s="255"/>
      <c r="M55" s="255"/>
      <c r="N55" s="255"/>
      <c r="O55" s="255"/>
      <c r="P55" s="255"/>
      <c r="Q55" s="255"/>
      <c r="R55" s="255"/>
      <c r="S55" s="254"/>
      <c r="X55" s="254"/>
    </row>
    <row r="56" spans="1:24" ht="36" hidden="1" customHeight="1">
      <c r="A56" s="993" t="s">
        <v>261</v>
      </c>
      <c r="B56" s="994"/>
      <c r="C56" s="995"/>
      <c r="D56" s="845">
        <f ca="1">IF(NOW()&gt;'Additional Input'!$P$13,"Expired",VLOOKUP(IF(Calculator!$D$10=TRUE,IF($D$35-$D$36-$D$37-$D$39-$D$40&lt;0,0,$D$35-$D$36-$D$37-$D$39-$D$40),IF($D$35-$D$36-$D$39-$D$40&lt;0,0,$D$35-$D$36-$D$39-$D$40)),ETable1,2)+(IF(Calculator!$D$10=TRUE,IF($D$35-$D$36-$D$37-$D$39-$D$40&lt;0,0,$D$35-$D$36-$D$37-$D$39-$D$40),IF($D$35-$D$36-$D$39-$D$40&lt;0,0,$D$35-$D$36-$D$39-$D$40))-VLOOKUP(IF(Calculator!$D$10=TRUE,IF($D$35-$D$36-$D$37-$D$39-$D$40&lt;0,0,$D$35-$D$36-$D$37-$D$39-$D$40),IF($D$35-$D$36-$D$39-$D$40&lt;0,0,$D$35-$D$36-$D$39-$D$40)),ETable1,1))*VLOOKUP(IF(Calculator!$D$10=TRUE,IF($D$35-$D$36-$D$37-$D$39-$D$40&lt;0,0,$D$35-$D$36-$D$37-$D$39-$D$40),IF($D$35-$D$36-$D$39-$D$40&lt;0,0,$D$35-$D$36-$D$39-$D$40)),ETable1,3))</f>
        <v>3812200</v>
      </c>
      <c r="E56" s="556"/>
      <c r="F56" s="215"/>
      <c r="G56" s="249"/>
      <c r="H56" s="198"/>
      <c r="I56" s="332"/>
      <c r="J56" s="248">
        <f ca="1">IF(NOW()&gt;'Additional Input'!$P$13,"Expired",VLOOKUP(IF(Calculator!$D$10=TRUE,IF($J$35-$J$36-$J$37-$J$39-$J$40&lt;0,0,$J$35-$J$36-$J$37-$J$39-$J$40),IF($J$35-$J$36-$J$39-$J$40&lt;0,0,$J$35-$J$36-$J$39-$J$40)),ETable3,2)+(IF(Calculator!$D$10=TRUE,IF($J$35-$J$36-$J$37-$J$39-$J$40&lt;0,0,$J$35-$J$36-$J$37-$J$39-$J$40),IF($J$35-$J$36-$J$39-$J$40&lt;0,0,$J$35-$J$36-$J$39-$J$40))-VLOOKUP(IF(Calculator!$D$10=TRUE,IF($J$35-$J$36-$J$37-$J$39-$J$40&lt;0,0,$J$35-$J$36-$J$37-$J$39-$J$40),IF($J$35-$J$36-$J$39-$J$40&lt;0,0,$J$35-$J$36-$J$39-$J$40)),ETable3,1))*VLOOKUP(IF(Calculator!$D$10=TRUE,IF($J$35-$J$36-$J$37-$J$39-$J$40&lt;0,0,$J$35-$J$36-$J$37-$J$39-$J$40),IF($J$35-$J$36-$J$39-$J$40&lt;0,0,$J$35-$J$36-$J$39-$J$40)),ETable3,4))</f>
        <v>8725222.5033097658</v>
      </c>
      <c r="K56" s="128"/>
      <c r="L56" s="981" t="s">
        <v>188</v>
      </c>
      <c r="M56" s="950"/>
      <c r="N56" s="950"/>
      <c r="O56" s="951"/>
      <c r="P56" s="128"/>
      <c r="Q56" s="128"/>
      <c r="R56" s="128"/>
      <c r="S56" s="248">
        <f ca="1">IF(NOW()&gt;'Additional Input'!$P$13,"Expired",VLOOKUP(IF(Calculator!$D$10=TRUE,IF($S$35-$S$36-$S$37-$S$39-$S$40&lt;0,0,$S$35-$S$36-$S$37-$S$39-$S$40),IF($S$35-$S$36-$S$39-$S$40&lt;0,0,$S$35-$S$36-$S$39-$S$40)),ETable3,2)+(IF(Calculator!$D$10=TRUE,IF($S$35-$S$36-$S$37-$S$39-$S$40&lt;0,0,$S$35-$S$36-$S$37-$S$39-$S$40),IF($S$35-$S$36-$S$39-$S$40&lt;0,0,$S$35-$S$36-$S$39-$S$40))-VLOOKUP(IF(Calculator!$D$10=TRUE,IF($S$35-$S$36-$S$37-$S$39-$S$40&lt;0,0,$S$35-$S$36-$S$37-$S$39-$S$40),IF($S$35-$S$36-$S$39-$S$40&lt;0,0,$S$35-$S$36-$S$39-$S$40)),ETable3,1))*VLOOKUP(IF(Calculator!$D$10=TRUE,IF($S$35-$S$36-$S$37-$S$39-$S$40&lt;0,0,$S$35-$S$36-$S$37-$S$39-$S$40),IF($S$35-$S$36-$S$39-$S$40&lt;0,0,$S$35-$S$36-$S$39-$S$40)),ETable3,4))</f>
        <v>9972538.8582005277</v>
      </c>
      <c r="X56" s="256">
        <f ca="1">IF(NOW()&gt;'Additional Input'!$P$13,"Expired",VLOOKUP(IF(Calculator!$D$10=TRUE,IF($X$35-$X$37-$X$36&lt;0,0,$X$35-$X$37-$X$36),$X$35-$X$36),ETable2,3)+(IF(Calculator!$D$10=TRUE,IF($X$35-$X$37-$X$36&lt;0,0,$X$35-$X$37-$X$36),$X$35-$X$36)-VLOOKUP(IF(Calculator!$D$10=TRUE,IF($X$35-$X$37-$X$36&lt;0,0,$X$35-$X$37-$X$36),$X$35-$X$36),ETable2,1))*VLOOKUP(IF(Calculator!$D$10=TRUE,IF($X$35-$X$37-$X$36&lt;0,0,$X$35-$X$37-$X$36),$X$35-$X$36),ETable2,4))</f>
        <v>15811705.942050928</v>
      </c>
    </row>
    <row r="57" spans="1:24" hidden="1">
      <c r="A57" s="993" t="s">
        <v>262</v>
      </c>
      <c r="B57" s="994"/>
      <c r="C57" s="995"/>
      <c r="D57" s="846">
        <f ca="1">IF((VLOOKUP($D$37,ETable1,2)+($D$37-VLOOKUP($D$37,ETable1,1))*VLOOKUP($D$37,ETable1,3))&gt;$D$56,-$D$56,(VLOOKUP($D$37,ETable1,2)+($D$37-VLOOKUP($D$37,ETable1,1))*VLOOKUP($D$37,ETable1,3))*-1)</f>
        <v>-2045800</v>
      </c>
      <c r="E57" s="332"/>
      <c r="G57" s="249"/>
      <c r="H57" s="198"/>
      <c r="I57" s="332"/>
      <c r="J57" s="251">
        <f ca="1">IF((VLOOKUP($J$37,ETable3,2)+($J$37-VLOOKUP($J$37,ETable3,1))*VLOOKUP($J$37,ETable3,4))&gt;$J$56,-$J$56,(VLOOKUP($J$37,ETable3,2)+($J$37-VLOOKUP($J$37,ETable3,1))*VLOOKUP($J$37,ETable3,4))*-1)</f>
        <v>-3065800</v>
      </c>
      <c r="K57" s="128"/>
      <c r="L57" s="252">
        <f ca="1">IF(Calculator!$X35-$X$36&lt;=1000000,0,VLOOKUP(IF(Calculator!$D$10=TRUE,IF(Calculator!$D$14=TRUE,Calculator!$X$35-$X$36-1000000,Calculator!$X$35-$X$36),Calculator!$X$35-$X$36),StateTaxes,2)+((IF(Calculator!$D$10=TRUE,IF(Calculator!$D$14=TRUE,Calculator!$X$35-$X$36-1000000,Calculator!$X$35-$X$36),Calculator!$X$35-$X$36)-VLOOKUP(IF(Calculator!$D$10=TRUE,IF(Calculator!$D$14=TRUE,Calculator!$X$35-$X$36-1000000,Calculator!$X$35-$X$36),Calculator!$X$35-$X$36),StateTaxes,1))*VLOOKUP(IF(Calculator!$D$10=TRUE,IF(Calculator!$D$14=TRUE,Calculator!$X$35-$X$36-1000000,Calculator!$X$35-$X$36),Calculator!$X$35-$X$36),StateTaxes,3)))</f>
        <v>4066569.0013239062</v>
      </c>
      <c r="M57" s="236">
        <f ca="1">IF(NOW()&gt;'Additional Input'!$P$13,"Expired",VLOOKUP(IF(Calculator!$D$10=TRUE,IF($X$35-$X$37-$X$36&lt;0,0,$X$35-$X$37-$X$36),$X$35-$X$36),ETable2,3)+(IF(Calculator!$D$10=TRUE,IF($X$35-$X$37-$X$36&lt;0,0,$X$35-$X$37-$X$36),$X$35-$X$36)-VLOOKUP(IF(Calculator!$D$10=TRUE,IF($X$35-$X$37-$X$36&lt;0,0,$X$35-$X$37-$X$36),$X$35-$X$36),ETable2,1))*VLOOKUP(IF(Calculator!$D$10=TRUE,IF($X$35-$X$37-$X$36&lt;0,0,$X$35-$X$37-$X$36),$X$35-$X$36),ETable2,4))+IF((VLOOKUP($X$37,ETable2,3)+($X$37-VLOOKUP($X$37,ETable2,1))*VLOOKUP($X$37,ETable2,4))&gt;$X$56,-$X$56,(VLOOKUP($X$37,ETable2,3)+($X$37-VLOOKUP($X$37,ETable2,1))*VLOOKUP($X$37,ETable2,4))*-1)</f>
        <v>15465905.942050928</v>
      </c>
      <c r="N57" s="236">
        <f ca="1">IF(L57&gt;M57,M57,L57)</f>
        <v>4066569.0013239062</v>
      </c>
      <c r="O57" s="253">
        <f ca="1">MIN(N57,$X39+$X40)</f>
        <v>4066569.0013239062</v>
      </c>
      <c r="P57" s="128"/>
      <c r="Q57" s="128"/>
      <c r="R57" s="128"/>
      <c r="S57" s="251">
        <f ca="1">IF((VLOOKUP($S$37,ETable3,2)+($S$37-VLOOKUP($S$37,ETable3,1))*VLOOKUP($S$37,ETable3,4))&gt;$S$56,-$S$56,(VLOOKUP($S$37,ETable3,2)+($S$37-VLOOKUP($S$37,ETable3,1))*VLOOKUP($S$37,ETable3,4))*-1)</f>
        <v>-3065800</v>
      </c>
      <c r="X57" s="257">
        <f ca="1">IF((VLOOKUP($X$37,ETable2,3)+($X$37-VLOOKUP($X$37,ETable2,1))*VLOOKUP($X$37,ETable2,4))&gt;$X$56,-$X$56,(VLOOKUP($X$37,ETable2,3)+($X$37-VLOOKUP($X$37,ETable2,1))*VLOOKUP($X$37,ETable2,4))*-1)-$O$57</f>
        <v>-4412369.0013239067</v>
      </c>
    </row>
    <row r="58" spans="1:24" hidden="1">
      <c r="A58" s="844"/>
      <c r="C58" s="249"/>
      <c r="D58" s="254"/>
      <c r="E58" s="332"/>
      <c r="G58" s="249"/>
      <c r="H58" s="198"/>
      <c r="I58" s="332"/>
      <c r="J58" s="254"/>
      <c r="K58" s="255"/>
      <c r="L58" s="255"/>
      <c r="M58" s="255"/>
      <c r="N58" s="255"/>
      <c r="O58" s="255"/>
      <c r="P58" s="255"/>
      <c r="Q58" s="255"/>
      <c r="R58" s="255"/>
      <c r="S58" s="254"/>
      <c r="X58" s="254"/>
    </row>
    <row r="59" spans="1:24" ht="24" hidden="1" customHeight="1">
      <c r="A59" s="993" t="s">
        <v>263</v>
      </c>
      <c r="B59" s="994"/>
      <c r="C59" s="995"/>
      <c r="D59" s="258">
        <f ca="1">SUM(D53:D54)-SUM(D56:D57)</f>
        <v>0</v>
      </c>
      <c r="E59" s="241"/>
      <c r="G59" s="241"/>
      <c r="H59" s="241"/>
      <c r="I59" s="260"/>
      <c r="J59" s="259">
        <f ca="1">SUM(J53:J54)-SUM(J56:J57)</f>
        <v>0</v>
      </c>
      <c r="K59" s="128"/>
      <c r="L59" s="128"/>
      <c r="M59" s="128"/>
      <c r="N59" s="128"/>
      <c r="O59" s="128"/>
      <c r="P59" s="128"/>
      <c r="Q59" s="128"/>
      <c r="R59" s="128"/>
      <c r="S59" s="259">
        <f ca="1">SUM(S53:S54)-SUM(S56:S57)</f>
        <v>0</v>
      </c>
      <c r="X59" s="259">
        <f ca="1">SUM(X53:X54)-SUM(X56:X57)</f>
        <v>0</v>
      </c>
    </row>
    <row r="60" spans="1:24">
      <c r="A60" s="128"/>
      <c r="B60" s="128"/>
      <c r="C60" s="128"/>
      <c r="D60" s="128"/>
      <c r="E60" s="128"/>
      <c r="F60" s="128"/>
      <c r="G60" s="128"/>
      <c r="H60" s="128"/>
      <c r="I60" s="128"/>
      <c r="J60" s="128"/>
      <c r="K60" s="128"/>
      <c r="L60" s="128"/>
      <c r="M60" s="128"/>
      <c r="N60" s="128"/>
      <c r="O60" s="128"/>
      <c r="P60" s="128"/>
      <c r="Q60" s="128"/>
      <c r="R60" s="128"/>
    </row>
  </sheetData>
  <sheetProtection password="9227" sheet="1" objects="1" scenarios="1" selectLockedCells="1"/>
  <mergeCells count="104">
    <mergeCell ref="A53:C53"/>
    <mergeCell ref="A54:C54"/>
    <mergeCell ref="A56:C56"/>
    <mergeCell ref="Q39:R39"/>
    <mergeCell ref="Q40:R40"/>
    <mergeCell ref="H44:I44"/>
    <mergeCell ref="H45:I45"/>
    <mergeCell ref="H39:I39"/>
    <mergeCell ref="H40:I40"/>
    <mergeCell ref="H41:I41"/>
    <mergeCell ref="H42:I42"/>
    <mergeCell ref="H43:I43"/>
    <mergeCell ref="A57:C57"/>
    <mergeCell ref="A59:C59"/>
    <mergeCell ref="R3:V3"/>
    <mergeCell ref="R4:V4"/>
    <mergeCell ref="Q42:R42"/>
    <mergeCell ref="Q43:R43"/>
    <mergeCell ref="V17:W17"/>
    <mergeCell ref="Q32:T32"/>
    <mergeCell ref="Q34:R34"/>
    <mergeCell ref="Q35:R35"/>
    <mergeCell ref="Q36:R36"/>
    <mergeCell ref="Q33:T33"/>
    <mergeCell ref="V39:W39"/>
    <mergeCell ref="V40:W40"/>
    <mergeCell ref="V36:W36"/>
    <mergeCell ref="Q37:R37"/>
    <mergeCell ref="Q38:R38"/>
    <mergeCell ref="B40:C40"/>
    <mergeCell ref="B41:C41"/>
    <mergeCell ref="B42:C42"/>
    <mergeCell ref="Q15:T15"/>
    <mergeCell ref="H37:I37"/>
    <mergeCell ref="H38:I38"/>
    <mergeCell ref="Q45:R45"/>
    <mergeCell ref="X17:Y17"/>
    <mergeCell ref="Q16:Y16"/>
    <mergeCell ref="Q41:R41"/>
    <mergeCell ref="Q17:T17"/>
    <mergeCell ref="V33:Y33"/>
    <mergeCell ref="V37:W37"/>
    <mergeCell ref="L56:O56"/>
    <mergeCell ref="V35:W35"/>
    <mergeCell ref="V41:W41"/>
    <mergeCell ref="V42:W42"/>
    <mergeCell ref="V44:W44"/>
    <mergeCell ref="A49:P49"/>
    <mergeCell ref="A48:P48"/>
    <mergeCell ref="B44:C44"/>
    <mergeCell ref="B45:C45"/>
    <mergeCell ref="A50:I50"/>
    <mergeCell ref="N52:O52"/>
    <mergeCell ref="L53:O53"/>
    <mergeCell ref="B37:C37"/>
    <mergeCell ref="B38:C38"/>
    <mergeCell ref="Q47:T48"/>
    <mergeCell ref="Q44:R44"/>
    <mergeCell ref="B39:C39"/>
    <mergeCell ref="B43:C43"/>
    <mergeCell ref="B34:C34"/>
    <mergeCell ref="B35:C35"/>
    <mergeCell ref="B32:F32"/>
    <mergeCell ref="H34:I34"/>
    <mergeCell ref="A22:B22"/>
    <mergeCell ref="L38:O38"/>
    <mergeCell ref="L36:O36"/>
    <mergeCell ref="V32:Y32"/>
    <mergeCell ref="A29:C29"/>
    <mergeCell ref="B36:C36"/>
    <mergeCell ref="H36:I36"/>
    <mergeCell ref="B33:F33"/>
    <mergeCell ref="G28:I28"/>
    <mergeCell ref="G29:I30"/>
    <mergeCell ref="H35:I35"/>
    <mergeCell ref="A26:P26"/>
    <mergeCell ref="H32:K32"/>
    <mergeCell ref="F15:K16"/>
    <mergeCell ref="H7:K7"/>
    <mergeCell ref="A7:C7"/>
    <mergeCell ref="A24:C24"/>
    <mergeCell ref="A19:C19"/>
    <mergeCell ref="A15:C15"/>
    <mergeCell ref="A14:C14"/>
    <mergeCell ref="A10:C10"/>
    <mergeCell ref="A8:C8"/>
    <mergeCell ref="I18:I19"/>
    <mergeCell ref="R5:V5"/>
    <mergeCell ref="R10:V11"/>
    <mergeCell ref="J4:K4"/>
    <mergeCell ref="D1:P1"/>
    <mergeCell ref="A9:C9"/>
    <mergeCell ref="A13:C13"/>
    <mergeCell ref="B1:C1"/>
    <mergeCell ref="A5:C5"/>
    <mergeCell ref="A6:C6"/>
    <mergeCell ref="A2:B2"/>
    <mergeCell ref="C2:D2"/>
    <mergeCell ref="A4:C4"/>
    <mergeCell ref="T7:V7"/>
    <mergeCell ref="T9:V9"/>
    <mergeCell ref="T12:V12"/>
    <mergeCell ref="T6:V6"/>
    <mergeCell ref="T8:V8"/>
  </mergeCells>
  <printOptions horizontalCentered="1"/>
  <pageMargins left="0.5" right="0.5" top="0.75" bottom="0.5" header="0.3" footer="0.3"/>
  <pageSetup scale="83" orientation="portrait" horizontalDpi="1200" verticalDpi="1200" r:id="rId1"/>
  <ignoredErrors>
    <ignoredError sqref="J13 H20" unlockedFormula="1"/>
    <ignoredError sqref="W18:W24 X18 X22" formula="1"/>
  </ignoredErrors>
  <drawing r:id="rId2"/>
  <legacyDrawing r:id="rId3"/>
</worksheet>
</file>

<file path=xl/worksheets/sheet3.xml><?xml version="1.0" encoding="utf-8"?>
<worksheet xmlns="http://schemas.openxmlformats.org/spreadsheetml/2006/main" xmlns:r="http://schemas.openxmlformats.org/officeDocument/2006/relationships">
  <sheetPr>
    <pageSetUpPr fitToPage="1"/>
  </sheetPr>
  <dimension ref="A1:K87"/>
  <sheetViews>
    <sheetView showGridLines="0" showRowColHeaders="0" workbookViewId="0"/>
  </sheetViews>
  <sheetFormatPr defaultRowHeight="15"/>
  <cols>
    <col min="1" max="1" width="13.125" customWidth="1"/>
    <col min="2" max="2" width="12.125" customWidth="1"/>
    <col min="3" max="3" width="5.375" customWidth="1"/>
    <col min="4" max="4" width="14" customWidth="1"/>
    <col min="5" max="5" width="1.625" customWidth="1"/>
    <col min="6" max="6" width="14" customWidth="1"/>
    <col min="7" max="7" width="1.625" customWidth="1"/>
    <col min="8" max="8" width="14" customWidth="1"/>
    <col min="9" max="9" width="1.625" customWidth="1"/>
    <col min="10" max="10" width="13.375" customWidth="1"/>
    <col min="11" max="11" width="2.125" customWidth="1"/>
  </cols>
  <sheetData>
    <row r="1" spans="1:11" ht="30.75" customHeight="1" thickBot="1">
      <c r="A1" s="522"/>
      <c r="B1" s="1024" t="s">
        <v>397</v>
      </c>
      <c r="C1" s="1025"/>
      <c r="D1" s="913" t="s">
        <v>381</v>
      </c>
      <c r="E1" s="914"/>
      <c r="F1" s="914"/>
      <c r="G1" s="914"/>
      <c r="H1" s="914"/>
      <c r="I1" s="914"/>
      <c r="J1" s="914"/>
      <c r="K1" s="915"/>
    </row>
    <row r="2" spans="1:11">
      <c r="A2" s="523"/>
      <c r="B2" s="524"/>
      <c r="C2" s="524"/>
      <c r="D2" s="524"/>
      <c r="E2" s="524"/>
      <c r="F2" s="524"/>
      <c r="G2" s="524"/>
      <c r="H2" s="524"/>
      <c r="I2" s="524"/>
      <c r="J2" s="524"/>
      <c r="K2" s="524"/>
    </row>
    <row r="3" spans="1:11" ht="59.25" customHeight="1">
      <c r="A3" s="1027" t="s">
        <v>382</v>
      </c>
      <c r="B3" s="1027"/>
      <c r="C3" s="1027"/>
      <c r="D3" s="1027"/>
      <c r="E3" s="1027"/>
      <c r="F3" s="1027"/>
      <c r="G3" s="1027"/>
      <c r="H3" s="1027"/>
      <c r="I3" s="1027"/>
      <c r="J3" s="1027"/>
      <c r="K3" s="1027"/>
    </row>
    <row r="4" spans="1:11">
      <c r="A4" s="1028" t="s">
        <v>383</v>
      </c>
      <c r="B4" s="1029"/>
      <c r="C4" s="1029"/>
      <c r="D4" s="1029"/>
      <c r="E4" s="1029"/>
      <c r="F4" s="1029"/>
      <c r="G4" s="1029"/>
      <c r="H4" s="1029"/>
      <c r="I4" s="1029"/>
      <c r="J4" s="1029"/>
      <c r="K4" s="1029"/>
    </row>
    <row r="5" spans="1:11">
      <c r="A5" s="525"/>
      <c r="B5" s="525"/>
      <c r="C5" s="525"/>
      <c r="D5" s="525"/>
      <c r="E5" s="525"/>
      <c r="F5" s="525"/>
      <c r="G5" s="525"/>
      <c r="H5" s="525"/>
      <c r="I5" s="525"/>
      <c r="J5" s="525"/>
      <c r="K5" s="525"/>
    </row>
    <row r="6" spans="1:11">
      <c r="A6" s="1026" t="s">
        <v>384</v>
      </c>
      <c r="B6" s="1026"/>
      <c r="C6" s="1026"/>
      <c r="D6" s="1026"/>
      <c r="E6" s="1026"/>
      <c r="F6" s="1026"/>
      <c r="G6" s="1026"/>
      <c r="H6" s="1026"/>
      <c r="I6" s="1026"/>
      <c r="J6" s="1026"/>
      <c r="K6" s="1026"/>
    </row>
    <row r="7" spans="1:11" ht="27.75" customHeight="1">
      <c r="A7" s="1026" t="str">
        <f>"■   The Applicable Exclusion Amount for estate, gift and GST taxes continues at $5,000,000 per person as indexed from 2011.  For "&amp;'Additional Input'!$N$13&amp;", this means: "&amp;DOLLAR('Additional Input'!$O$13,-2)&amp;" per person, "&amp;DOLLAR('Additional Input'!$O$13*2,-2)&amp;" per married couple;"</f>
        <v>■   The Applicable Exclusion Amount for estate, gift and GST taxes continues at $5,000,000 per person as indexed from 2011.  For 2013, this means: $5,250,000 per person, $10,500,000 per married couple;</v>
      </c>
      <c r="B7" s="1026"/>
      <c r="C7" s="1026"/>
      <c r="D7" s="1026"/>
      <c r="E7" s="1026"/>
      <c r="F7" s="1026"/>
      <c r="G7" s="1026"/>
      <c r="H7" s="1026"/>
      <c r="I7" s="1026"/>
      <c r="J7" s="1026"/>
      <c r="K7" s="1026"/>
    </row>
    <row r="8" spans="1:11">
      <c r="A8" s="1026" t="str">
        <f>"■   The highest applicable estate, gift and GST tax rates have been increased permanently to "&amp;Calculator!$D$30*100&amp;"%;"</f>
        <v>■   The highest applicable estate, gift and GST tax rates have been increased permanently to 40%;</v>
      </c>
      <c r="B8" s="1026"/>
      <c r="C8" s="1026"/>
      <c r="D8" s="1026"/>
      <c r="E8" s="1026"/>
      <c r="F8" s="1026"/>
      <c r="G8" s="1026"/>
      <c r="H8" s="1026"/>
      <c r="I8" s="1026"/>
      <c r="J8" s="1026"/>
      <c r="K8" s="1026"/>
    </row>
    <row r="9" spans="1:11">
      <c r="A9" s="1026" t="s">
        <v>385</v>
      </c>
      <c r="B9" s="1026"/>
      <c r="C9" s="1026"/>
      <c r="D9" s="1026"/>
      <c r="E9" s="1026"/>
      <c r="F9" s="1026"/>
      <c r="G9" s="1026"/>
      <c r="H9" s="1026"/>
      <c r="I9" s="1026"/>
      <c r="J9" s="1026"/>
      <c r="K9" s="1026"/>
    </row>
    <row r="10" spans="1:11" ht="27" customHeight="1">
      <c r="A10" s="1026" t="s">
        <v>386</v>
      </c>
      <c r="B10" s="1026"/>
      <c r="C10" s="1026"/>
      <c r="D10" s="1026"/>
      <c r="E10" s="1026"/>
      <c r="F10" s="1026"/>
      <c r="G10" s="1026"/>
      <c r="H10" s="1026"/>
      <c r="I10" s="1026"/>
      <c r="J10" s="1026"/>
      <c r="K10" s="1026"/>
    </row>
    <row r="11" spans="1:11">
      <c r="A11" s="523"/>
      <c r="B11" s="524"/>
      <c r="C11" s="524"/>
      <c r="D11" s="524"/>
      <c r="E11" s="524"/>
      <c r="F11" s="524"/>
      <c r="G11" s="524"/>
      <c r="H11" s="524"/>
      <c r="I11" s="524"/>
      <c r="J11" s="524"/>
      <c r="K11" s="524"/>
    </row>
    <row r="12" spans="1:11" ht="15.75">
      <c r="A12" s="1020" t="s">
        <v>477</v>
      </c>
      <c r="B12" s="1021"/>
      <c r="C12" s="1021"/>
      <c r="D12" s="1021"/>
      <c r="E12" s="1021"/>
      <c r="F12" s="1021"/>
      <c r="G12" s="1021"/>
      <c r="H12" s="1021"/>
      <c r="I12" s="1021"/>
      <c r="J12" s="1021"/>
      <c r="K12" s="1021"/>
    </row>
    <row r="13" spans="1:11">
      <c r="A13" s="526"/>
      <c r="B13" s="527" t="str">
        <f>"     PERMANENT ESTATE TAX LAW:  ["&amp;IF(Calculator!$D$10=TRUE,2,1)&amp;"] "&amp;DOLLAR(Calculator!$D$28,-2)&amp;" Exemption(s), indexed at "&amp;Calculator!$D$29*100&amp;"%, "&amp;Calculator!$D$30*100&amp;"% Tax Rate"</f>
        <v xml:space="preserve">     PERMANENT ESTATE TAX LAW:  [2] $5,250,000 Exemption(s), indexed at 2%, 40% Tax Rate</v>
      </c>
      <c r="C13" s="528"/>
      <c r="D13" s="528"/>
      <c r="E13" s="528"/>
      <c r="F13" s="528"/>
      <c r="G13" s="528"/>
      <c r="H13" s="528"/>
      <c r="I13" s="528"/>
      <c r="J13" s="528"/>
      <c r="K13" s="528"/>
    </row>
    <row r="14" spans="1:11">
      <c r="A14" s="1023" t="str">
        <f ca="1">"Projected Growth for "&amp;FIXED(Calculator!$F$22,0)&amp;" year(s) at "&amp;FIXED(Projections!$M$4*100,2)&amp;"% ("&amp;VLOOKUP(Calculator!$F$22,DATA,3)&amp;"), "&amp;"Ages "&amp;VLOOKUP(Calculator!$F$22,DATA,2)</f>
        <v>Projected Growth for 20 year(s) at 4.00% (2033), Ages 80/80</v>
      </c>
      <c r="B14" s="1023"/>
      <c r="C14" s="1023"/>
      <c r="D14" s="1023"/>
      <c r="E14" s="1023"/>
      <c r="F14" s="1023"/>
      <c r="G14" s="1023"/>
      <c r="H14" s="1023"/>
      <c r="I14" s="1023"/>
      <c r="J14" s="1023"/>
      <c r="K14" s="1023"/>
    </row>
    <row r="15" spans="1:11">
      <c r="A15" s="523"/>
      <c r="B15" s="524"/>
      <c r="C15" s="524"/>
      <c r="D15" s="524"/>
      <c r="E15" s="524"/>
      <c r="F15" s="524"/>
      <c r="G15" s="524"/>
      <c r="H15" s="524"/>
      <c r="I15" s="524"/>
      <c r="J15" s="524"/>
      <c r="K15" s="524"/>
    </row>
    <row r="16" spans="1:11">
      <c r="A16" s="523"/>
      <c r="B16" s="524"/>
      <c r="C16" s="524"/>
      <c r="D16" s="524"/>
      <c r="E16" s="524"/>
      <c r="F16" s="524"/>
      <c r="G16" s="524"/>
      <c r="H16" s="524"/>
      <c r="I16" s="524"/>
      <c r="J16" s="524"/>
      <c r="K16" s="524"/>
    </row>
    <row r="17" spans="1:11">
      <c r="A17" s="1009" t="s">
        <v>387</v>
      </c>
      <c r="B17" s="1009"/>
      <c r="C17" s="529"/>
      <c r="D17" s="1022" t="str">
        <f>IF(Calculator!$F$4="","GROSS ESTATE","COMBINED GROSS ESTATE")</f>
        <v>COMBINED GROSS ESTATE</v>
      </c>
      <c r="E17" s="1022"/>
      <c r="F17" s="1022"/>
      <c r="G17" s="1022"/>
      <c r="H17" s="1022"/>
      <c r="I17" s="530"/>
      <c r="J17" s="524"/>
      <c r="K17" s="524"/>
    </row>
    <row r="18" spans="1:11">
      <c r="A18" s="1011">
        <f ca="1">VLOOKUP(Calculator!$F$22,DATA,10)</f>
        <v>3118290.8872269043</v>
      </c>
      <c r="B18" s="1011"/>
      <c r="C18" s="524"/>
      <c r="D18" s="1016">
        <f ca="1">VLOOKUP(Calculator!$F$22,DATA,9)</f>
        <v>29748556.258274414</v>
      </c>
      <c r="E18" s="1016"/>
      <c r="F18" s="1016"/>
      <c r="G18" s="1016"/>
      <c r="H18" s="1016"/>
      <c r="I18" s="531"/>
      <c r="J18" s="524"/>
      <c r="K18" s="524"/>
    </row>
    <row r="19" spans="1:11">
      <c r="A19" s="1017" t="str">
        <f ca="1">FIXED(TaxTables!$W$5,0)&amp;" at "&amp;TaxTables!$X$4*100&amp;"%, "&amp;IF(Calculator!$D$19=TRUE,"as Indexed","")</f>
        <v>84,000 at 4%, as Indexed</v>
      </c>
      <c r="B19" s="1012"/>
      <c r="C19" s="532">
        <f>Calculator!$J$19</f>
        <v>84000</v>
      </c>
      <c r="D19" s="1018" t="s">
        <v>388</v>
      </c>
      <c r="E19" s="1018"/>
      <c r="F19" s="1018"/>
      <c r="G19" s="1018"/>
      <c r="H19" s="1018"/>
      <c r="I19" s="533"/>
      <c r="J19" s="524"/>
      <c r="K19" s="524"/>
    </row>
    <row r="20" spans="1:11">
      <c r="A20" s="523"/>
      <c r="B20" s="524"/>
      <c r="C20" s="524"/>
      <c r="D20" s="1019"/>
      <c r="E20" s="1019"/>
      <c r="F20" s="524"/>
      <c r="G20" s="524"/>
      <c r="H20" s="524"/>
      <c r="I20" s="524"/>
      <c r="J20" s="524"/>
      <c r="K20" s="524"/>
    </row>
    <row r="21" spans="1:11">
      <c r="A21" s="1009" t="s">
        <v>389</v>
      </c>
      <c r="B21" s="1009"/>
      <c r="C21" s="529"/>
      <c r="D21" s="529"/>
      <c r="E21" s="524"/>
      <c r="F21" s="524"/>
      <c r="G21" s="524"/>
      <c r="H21" s="524"/>
      <c r="I21" s="524"/>
      <c r="J21" s="524"/>
      <c r="K21" s="524"/>
    </row>
    <row r="22" spans="1:11">
      <c r="A22" s="1011">
        <f ca="1">VLOOKUP(Calculator!$F$22,DATA,11)</f>
        <v>0</v>
      </c>
      <c r="B22" s="1011"/>
      <c r="C22" s="524"/>
      <c r="D22" s="524"/>
      <c r="E22" s="524"/>
      <c r="F22" s="524"/>
      <c r="G22" s="524"/>
      <c r="H22" s="524"/>
      <c r="I22" s="524"/>
      <c r="J22" s="524"/>
      <c r="K22" s="524"/>
    </row>
    <row r="23" spans="1:11">
      <c r="A23" s="1012" t="str">
        <f>IF(Calculator!$D$20=TRUE,"Premiums: "&amp;FIXED(Calculator!F20,0)&amp;" x "&amp;FIXED(Calculator!H20,0)&amp;" Yrs","")</f>
        <v/>
      </c>
      <c r="B23" s="1012"/>
      <c r="C23" s="524"/>
      <c r="D23" s="729" t="s">
        <v>390</v>
      </c>
      <c r="E23" s="534"/>
      <c r="F23" s="729" t="str">
        <f>IF(Calculator!$F$4="","TAXABLE ESTATE","NET to SPOUSE/TRUST")</f>
        <v>NET to SPOUSE/TRUST</v>
      </c>
      <c r="G23" s="534"/>
      <c r="H23" s="729" t="s">
        <v>391</v>
      </c>
      <c r="I23" s="534"/>
      <c r="J23" s="529"/>
      <c r="K23" s="535"/>
    </row>
    <row r="24" spans="1:11">
      <c r="A24" s="529"/>
      <c r="B24" s="529"/>
      <c r="C24" s="536"/>
      <c r="D24" s="829">
        <f ca="1">IF(Calculator!$F$4="","N/A",(VLOOKUP(Calculator!$F$22,DATA,9)-VLOOKUP(Calculator!$F$22,DATA,8))*Calculator!$J$5)</f>
        <v>14874278.129137207</v>
      </c>
      <c r="E24" s="537"/>
      <c r="F24" s="829" t="str">
        <f ca="1">IF(Calculator!$F$4="",FIXED($D$18,0),FIXED($D$18-$D$24-$H$24,0))</f>
        <v>7,074,278</v>
      </c>
      <c r="G24" s="538"/>
      <c r="H24" s="830">
        <f ca="1">IF(Calculator!$F$4="","N/A",Calculator!$J$35-Calculator!$J$38-(Calculator!$I$24*Calculator!$J$5))</f>
        <v>7800000</v>
      </c>
      <c r="I24" s="539"/>
      <c r="J24" s="529"/>
      <c r="K24" s="540"/>
    </row>
    <row r="25" spans="1:11">
      <c r="A25" s="1013"/>
      <c r="B25" s="1014"/>
      <c r="C25" s="524"/>
      <c r="D25" s="541">
        <f>Calculator!$J$5</f>
        <v>0.5</v>
      </c>
      <c r="E25" s="524"/>
      <c r="F25" s="266" t="s">
        <v>392</v>
      </c>
      <c r="G25" s="524"/>
      <c r="H25" s="266" t="s">
        <v>393</v>
      </c>
      <c r="I25" s="524"/>
      <c r="J25" s="524"/>
      <c r="K25" s="524"/>
    </row>
    <row r="26" spans="1:11">
      <c r="A26" s="1015"/>
      <c r="B26" s="1015"/>
      <c r="C26" s="524"/>
      <c r="D26" s="524"/>
      <c r="E26" s="524"/>
      <c r="F26" s="524"/>
      <c r="G26" s="524"/>
      <c r="H26" s="524"/>
      <c r="I26" s="524"/>
      <c r="J26" s="524"/>
      <c r="K26" s="524"/>
    </row>
    <row r="27" spans="1:11">
      <c r="A27" s="1008"/>
      <c r="B27" s="1008"/>
      <c r="C27" s="524"/>
      <c r="D27" s="729" t="str">
        <f>"'"&amp;Calculator!$D$13&amp;"' ESTATE TAX"</f>
        <v>'FL' ESTATE TAX</v>
      </c>
      <c r="E27" s="542"/>
      <c r="F27" s="729" t="s">
        <v>394</v>
      </c>
      <c r="G27" s="524"/>
      <c r="H27" s="729" t="s">
        <v>395</v>
      </c>
      <c r="I27" s="524"/>
      <c r="J27" s="524"/>
      <c r="K27" s="524"/>
    </row>
    <row r="28" spans="1:11">
      <c r="A28" s="523"/>
      <c r="B28" s="524"/>
      <c r="C28" s="524"/>
      <c r="D28" s="832">
        <f>Calculator!$J$39+Calculator!$J$40</f>
        <v>0</v>
      </c>
      <c r="E28" s="543"/>
      <c r="F28" s="832">
        <f ca="1">Calculator!$J$43</f>
        <v>5659422.5033097658</v>
      </c>
      <c r="G28" s="544"/>
      <c r="H28" s="831">
        <f ca="1">Calculator!$J$44</f>
        <v>0</v>
      </c>
      <c r="I28" s="524"/>
      <c r="J28" s="524"/>
      <c r="K28" s="524"/>
    </row>
    <row r="29" spans="1:11">
      <c r="A29" s="523"/>
      <c r="B29" s="524"/>
      <c r="C29" s="524"/>
      <c r="D29" s="545">
        <f ca="1">Calculator!$K$39+Calculator!$K$40</f>
        <v>0</v>
      </c>
      <c r="E29" s="524"/>
      <c r="F29" s="545">
        <f ca="1">Calculator!$K$43</f>
        <v>0.19024192146251218</v>
      </c>
      <c r="G29" s="524"/>
      <c r="H29" s="545">
        <f ca="1">Calculator!$K$44</f>
        <v>0</v>
      </c>
      <c r="I29" s="524"/>
      <c r="J29" s="524"/>
      <c r="K29" s="524"/>
    </row>
    <row r="30" spans="1:11">
      <c r="A30" s="523"/>
      <c r="B30" s="524"/>
      <c r="C30" s="524"/>
      <c r="D30" s="524"/>
      <c r="E30" s="524"/>
      <c r="F30" s="524"/>
      <c r="G30" s="524"/>
      <c r="H30" s="524"/>
      <c r="I30" s="524"/>
      <c r="J30" s="524"/>
      <c r="K30" s="524"/>
    </row>
    <row r="31" spans="1:11">
      <c r="A31" s="523"/>
      <c r="B31" s="1009" t="s">
        <v>435</v>
      </c>
      <c r="C31" s="1009"/>
      <c r="D31" s="1009"/>
      <c r="E31" s="1009"/>
      <c r="F31" s="1009"/>
      <c r="G31" s="1009"/>
      <c r="H31" s="1009"/>
      <c r="I31" s="1009"/>
      <c r="J31" s="1009"/>
      <c r="K31" s="524"/>
    </row>
    <row r="32" spans="1:11">
      <c r="A32" s="523"/>
      <c r="B32" s="529"/>
      <c r="C32" s="546"/>
      <c r="D32" s="546"/>
      <c r="E32" s="546"/>
      <c r="F32" s="730">
        <f ca="1">$D$18-$D$28-$F$28-$H$28+$A$18+$A$22</f>
        <v>27207424.642191555</v>
      </c>
      <c r="G32" s="546"/>
      <c r="H32" s="546" t="str">
        <f ca="1">FIXED(F32-F62,0)&amp;" over Cash Gifts"</f>
        <v>0 over Cash Gifts</v>
      </c>
      <c r="I32" s="546"/>
      <c r="J32" s="546"/>
      <c r="K32" s="524"/>
    </row>
    <row r="33" spans="1:11">
      <c r="A33" s="523"/>
      <c r="B33" s="524"/>
      <c r="C33" s="524"/>
      <c r="D33" s="524"/>
      <c r="E33" s="524"/>
      <c r="F33" s="524"/>
      <c r="G33" s="524"/>
      <c r="H33" s="524"/>
      <c r="I33" s="524"/>
      <c r="J33" s="524"/>
      <c r="K33" s="524"/>
    </row>
    <row r="34" spans="1:11" ht="0.75" customHeight="1">
      <c r="A34" s="523"/>
      <c r="B34" s="524"/>
      <c r="C34" s="524"/>
      <c r="D34" s="524"/>
      <c r="E34" s="524"/>
      <c r="F34" s="524"/>
      <c r="G34" s="524"/>
      <c r="H34" s="524"/>
      <c r="I34" s="524"/>
      <c r="J34" s="524"/>
      <c r="K34" s="524"/>
    </row>
    <row r="35" spans="1:11" ht="50.25" customHeight="1">
      <c r="A35" s="1030" t="str">
        <f>"Assumptions are based on an applicable exclusion amount of "&amp;DOLLAR(Calculator!$D$28,-2)&amp;IF(Calculator!$D$10=TRUE," per spouse","")&amp;", index for inflation at "&amp;Calculator!$D$29*100&amp;"%, rounded down to the nearest $10,000, and a maximum federal estate tax rate of "&amp;Calculator!$D$30*100&amp;"%.  Prior taxable gifts are assumed to be "&amp;DOLLAR(Calculator!$I$24,-2)&amp;" and state estate and inheritance taxes are deductible in the calculation of the federal estate tax.  Additional taxable gifts "&amp;DOLLAR(Calculator!$J$24-Calculator!$I$24,-2)&amp;" for gifted policies."</f>
        <v>Assumptions are based on an applicable exclusion amount of $5,250,000 per spouse, index for inflation at 2%, rounded down to the nearest $10,000, and a maximum federal estate tax rate of 40%.  Prior taxable gifts are assumed to be $0 and state estate and inheritance taxes are deductible in the calculation of the federal estate tax.  Additional taxable gifts $0 for gifted policies.</v>
      </c>
      <c r="B35" s="1030"/>
      <c r="C35" s="1030"/>
      <c r="D35" s="1030"/>
      <c r="E35" s="1030"/>
      <c r="F35" s="1030"/>
      <c r="G35" s="1030"/>
      <c r="H35" s="1030"/>
      <c r="I35" s="1030"/>
      <c r="J35" s="1030"/>
      <c r="K35" s="1030"/>
    </row>
    <row r="36" spans="1:11" ht="27.75" customHeight="1">
      <c r="A36" s="723" t="s">
        <v>348</v>
      </c>
      <c r="B36" s="547"/>
      <c r="C36" s="547"/>
      <c r="D36" s="547"/>
      <c r="E36" s="547"/>
      <c r="F36" s="547"/>
      <c r="G36" s="547"/>
      <c r="H36" s="113"/>
    </row>
    <row r="37" spans="1:11" ht="42.75" customHeight="1">
      <c r="A37" s="1031" t="s">
        <v>349</v>
      </c>
      <c r="B37" s="1031"/>
      <c r="C37" s="1031"/>
      <c r="D37" s="1031"/>
      <c r="E37" s="1031"/>
      <c r="F37" s="1031"/>
      <c r="G37" s="1031"/>
      <c r="H37" s="1031"/>
    </row>
    <row r="38" spans="1:11" ht="30" customHeight="1">
      <c r="A38" s="1032" t="s">
        <v>396</v>
      </c>
      <c r="B38" s="1032"/>
      <c r="C38" s="1032"/>
      <c r="D38" s="1032"/>
      <c r="E38" s="1032"/>
      <c r="F38" s="1032"/>
      <c r="G38" s="1032"/>
      <c r="H38" s="1032"/>
    </row>
    <row r="39" spans="1:11" ht="4.5" customHeight="1" thickBot="1">
      <c r="C39" s="1"/>
    </row>
    <row r="40" spans="1:11" ht="30.75" customHeight="1" thickBot="1">
      <c r="A40" s="522"/>
      <c r="B40" s="1024" t="s">
        <v>397</v>
      </c>
      <c r="C40" s="1025"/>
      <c r="D40" s="913" t="s">
        <v>381</v>
      </c>
      <c r="E40" s="914"/>
      <c r="F40" s="914"/>
      <c r="G40" s="914"/>
      <c r="H40" s="914"/>
      <c r="I40" s="914"/>
      <c r="J40" s="914"/>
      <c r="K40" s="915"/>
    </row>
    <row r="42" spans="1:11" ht="15.75">
      <c r="A42" s="1020" t="s">
        <v>480</v>
      </c>
      <c r="B42" s="1021"/>
      <c r="C42" s="1021"/>
      <c r="D42" s="1021"/>
      <c r="E42" s="1021"/>
      <c r="F42" s="1021"/>
      <c r="G42" s="1021"/>
      <c r="H42" s="1021"/>
      <c r="I42" s="1021"/>
      <c r="J42" s="1021"/>
      <c r="K42" s="1021"/>
    </row>
    <row r="43" spans="1:11">
      <c r="A43" s="526"/>
      <c r="B43" s="527" t="str">
        <f>"     PERMANENT ESTATE TAX LAW:  ["&amp;IF(Calculator!$D$10=TRUE,2,1)&amp;"] "&amp;DOLLAR(Calculator!$D$28,-2)&amp;" Exemption(s), indexed at "&amp;Calculator!$D$29*100&amp;"%, "&amp;Calculator!$D$30*100&amp;"% Tax Rate"</f>
        <v xml:space="preserve">     PERMANENT ESTATE TAX LAW:  [2] $5,250,000 Exemption(s), indexed at 2%, 40% Tax Rate</v>
      </c>
      <c r="C43" s="528"/>
      <c r="D43" s="528"/>
      <c r="E43" s="528"/>
      <c r="F43" s="528"/>
      <c r="G43" s="528"/>
      <c r="H43" s="528"/>
      <c r="I43" s="528"/>
      <c r="J43" s="528"/>
      <c r="K43" s="528"/>
    </row>
    <row r="44" spans="1:11">
      <c r="A44" s="1023" t="str">
        <f ca="1">"Projected Growth for "&amp;FIXED(Calculator!$F$22,0)&amp;" year(s) at "&amp;FIXED(Projections!$M$4*100,2)&amp;"% ("&amp;VLOOKUP(Calculator!$F$22,DATA,3)&amp;"), "&amp;"Ages "&amp;VLOOKUP(Calculator!$F$22,DATA,2)</f>
        <v>Projected Growth for 20 year(s) at 4.00% (2033), Ages 80/80</v>
      </c>
      <c r="B44" s="1023"/>
      <c r="C44" s="1023"/>
      <c r="D44" s="1023"/>
      <c r="E44" s="1023"/>
      <c r="F44" s="1023"/>
      <c r="G44" s="1023"/>
      <c r="H44" s="1023"/>
      <c r="I44" s="1023"/>
      <c r="J44" s="1023"/>
      <c r="K44" s="1023"/>
    </row>
    <row r="45" spans="1:11">
      <c r="A45" s="523"/>
      <c r="B45" s="524"/>
      <c r="C45" s="524"/>
      <c r="D45" s="524"/>
      <c r="E45" s="524"/>
      <c r="F45" s="524"/>
      <c r="G45" s="524"/>
      <c r="H45" s="524"/>
      <c r="I45" s="524"/>
      <c r="J45" s="524"/>
      <c r="K45" s="524"/>
    </row>
    <row r="46" spans="1:11">
      <c r="A46" s="523"/>
      <c r="B46" s="524"/>
      <c r="C46" s="524"/>
      <c r="D46" s="524"/>
      <c r="E46" s="524"/>
      <c r="F46" s="524"/>
      <c r="G46" s="524"/>
      <c r="H46" s="524"/>
      <c r="I46" s="524"/>
      <c r="J46" s="524"/>
      <c r="K46" s="524"/>
    </row>
    <row r="47" spans="1:11">
      <c r="A47" s="1009" t="s">
        <v>387</v>
      </c>
      <c r="B47" s="1009"/>
      <c r="C47" s="731"/>
      <c r="D47" s="1022" t="str">
        <f>IF(Calculator!$F$4="","GROSS ESTATE","COMBINED GROSS ESTATE")</f>
        <v>COMBINED GROSS ESTATE</v>
      </c>
      <c r="E47" s="1022"/>
      <c r="F47" s="1022"/>
      <c r="G47" s="1022"/>
      <c r="H47" s="1022"/>
      <c r="I47" s="671"/>
      <c r="J47" s="524"/>
      <c r="K47" s="524"/>
    </row>
    <row r="48" spans="1:11">
      <c r="A48" s="1011">
        <f ca="1">VLOOKUP(Calculator!$F$22,DATA2,10)</f>
        <v>3118290.8872269043</v>
      </c>
      <c r="B48" s="1011"/>
      <c r="C48" s="524"/>
      <c r="D48" s="1016">
        <f ca="1">VLOOKUP(Calculator!$F$22,DATA2,9)</f>
        <v>29748556.258274414</v>
      </c>
      <c r="E48" s="1016"/>
      <c r="F48" s="1016"/>
      <c r="G48" s="1016"/>
      <c r="H48" s="1016"/>
      <c r="I48" s="531"/>
      <c r="J48" s="524"/>
      <c r="K48" s="524"/>
    </row>
    <row r="49" spans="1:11">
      <c r="A49" s="1017" t="str">
        <f ca="1">FIXED(TaxTables!$U$5-Calculator!J8,0)&amp;" at "&amp;TaxTables!$X$4*100&amp;"%, "&amp;IF(Calculator!$D$19=TRUE,"as Indexed","")</f>
        <v>84,000 at 4%, as Indexed</v>
      </c>
      <c r="B49" s="1012"/>
      <c r="C49" s="532">
        <f>Calculator!$J$19</f>
        <v>84000</v>
      </c>
      <c r="D49" s="1018" t="s">
        <v>388</v>
      </c>
      <c r="E49" s="1018"/>
      <c r="F49" s="1018"/>
      <c r="G49" s="1018"/>
      <c r="H49" s="1018"/>
      <c r="I49" s="672"/>
      <c r="J49" s="524"/>
      <c r="K49" s="524"/>
    </row>
    <row r="50" spans="1:11">
      <c r="A50" s="523"/>
      <c r="B50" s="524"/>
      <c r="C50" s="524"/>
      <c r="D50" s="1019"/>
      <c r="E50" s="1019"/>
      <c r="F50" s="524"/>
      <c r="G50" s="524"/>
      <c r="H50" s="524"/>
      <c r="I50" s="524"/>
      <c r="J50" s="524"/>
      <c r="K50" s="524"/>
    </row>
    <row r="51" spans="1:11">
      <c r="A51" s="1009" t="s">
        <v>389</v>
      </c>
      <c r="B51" s="1009"/>
      <c r="C51" s="529"/>
      <c r="D51" s="529"/>
      <c r="E51" s="524"/>
      <c r="F51" s="524"/>
      <c r="G51" s="524"/>
      <c r="H51" s="524"/>
      <c r="I51" s="524"/>
      <c r="J51" s="524"/>
      <c r="K51" s="524"/>
    </row>
    <row r="52" spans="1:11">
      <c r="A52" s="1011">
        <f ca="1">VLOOKUP(Calculator!$F$22,DATA2,11)</f>
        <v>0</v>
      </c>
      <c r="B52" s="1011"/>
      <c r="C52" s="524"/>
      <c r="D52" s="524"/>
      <c r="E52" s="524"/>
      <c r="F52" s="524"/>
      <c r="G52" s="524"/>
      <c r="H52" s="524"/>
      <c r="I52" s="524"/>
      <c r="J52" s="524"/>
      <c r="K52" s="524"/>
    </row>
    <row r="53" spans="1:11">
      <c r="A53" s="1012" t="str">
        <f>IF(Calculator!$D$20=TRUE,"Premiums: "&amp;FIXED(Calculator!F51,0)&amp;" x "&amp;FIXED(Calculator!H51,0)&amp;" Yrs","")</f>
        <v/>
      </c>
      <c r="B53" s="1012"/>
      <c r="C53" s="524"/>
      <c r="D53" s="729" t="s">
        <v>390</v>
      </c>
      <c r="E53" s="673"/>
      <c r="F53" s="729" t="str">
        <f>IF(Calculator!$F$4="","TAXABLE ESTATE","NET to SPOUSE/TRUST")</f>
        <v>NET to SPOUSE/TRUST</v>
      </c>
      <c r="G53" s="673"/>
      <c r="H53" s="729" t="s">
        <v>391</v>
      </c>
      <c r="I53" s="673"/>
      <c r="J53" s="529"/>
      <c r="K53" s="535"/>
    </row>
    <row r="54" spans="1:11">
      <c r="A54" s="529"/>
      <c r="B54" s="529"/>
      <c r="C54" s="536"/>
      <c r="D54" s="829">
        <f ca="1">IF(Calculator!$F$4="","N/A",(VLOOKUP(Calculator!$F$22,DATA2,9)-VLOOKUP(Calculator!$F$22,DATA2,8))*Calculator!$J$5)</f>
        <v>14874278.129137207</v>
      </c>
      <c r="E54" s="537"/>
      <c r="F54" s="829" t="str">
        <f ca="1">IF(Calculator!$F$4="",FIXED($D$18,0),FIXED($D$18-$D$24-$H$24,0))</f>
        <v>7,074,278</v>
      </c>
      <c r="G54" s="538"/>
      <c r="H54" s="830">
        <f ca="1">IF(Calculator!$F$4="","N/A",Calculator!$J$35-Calculator!$J$38-(Calculator!$I$24*Calculator!$J$5))</f>
        <v>7800000</v>
      </c>
      <c r="I54" s="539"/>
      <c r="J54" s="529"/>
      <c r="K54" s="540"/>
    </row>
    <row r="55" spans="1:11">
      <c r="A55" s="1013"/>
      <c r="B55" s="1014"/>
      <c r="C55" s="524"/>
      <c r="D55" s="541">
        <f>Calculator!$J$5</f>
        <v>0.5</v>
      </c>
      <c r="E55" s="524"/>
      <c r="F55" s="266" t="s">
        <v>392</v>
      </c>
      <c r="G55" s="524"/>
      <c r="H55" s="266" t="s">
        <v>393</v>
      </c>
      <c r="I55" s="524"/>
      <c r="J55" s="524"/>
      <c r="K55" s="524"/>
    </row>
    <row r="56" spans="1:11">
      <c r="A56" s="1015"/>
      <c r="B56" s="1015"/>
      <c r="C56" s="524"/>
      <c r="D56" s="524"/>
      <c r="E56" s="524"/>
      <c r="F56" s="524"/>
      <c r="G56" s="524"/>
      <c r="H56" s="524"/>
      <c r="I56" s="524"/>
      <c r="J56" s="524"/>
      <c r="K56" s="524"/>
    </row>
    <row r="57" spans="1:11">
      <c r="A57" s="1008"/>
      <c r="B57" s="1008"/>
      <c r="C57" s="524"/>
      <c r="D57" s="729" t="str">
        <f>"'"&amp;Calculator!$D$13&amp;"' ESTATE TAX"</f>
        <v>'FL' ESTATE TAX</v>
      </c>
      <c r="E57" s="542"/>
      <c r="F57" s="729" t="s">
        <v>394</v>
      </c>
      <c r="G57" s="524"/>
      <c r="H57" s="729" t="s">
        <v>395</v>
      </c>
      <c r="I57" s="524"/>
      <c r="J57" s="524"/>
      <c r="K57" s="524"/>
    </row>
    <row r="58" spans="1:11">
      <c r="A58" s="523"/>
      <c r="B58" s="524"/>
      <c r="C58" s="524"/>
      <c r="D58" s="832">
        <f>Calculator!$J$39+Calculator!$J$40</f>
        <v>0</v>
      </c>
      <c r="E58" s="543"/>
      <c r="F58" s="832">
        <f ca="1">Calculator!$J$43</f>
        <v>5659422.5033097658</v>
      </c>
      <c r="G58" s="544"/>
      <c r="H58" s="831">
        <f ca="1">Calculator!$J$44</f>
        <v>0</v>
      </c>
      <c r="I58" s="524"/>
      <c r="J58" s="524"/>
      <c r="K58" s="524"/>
    </row>
    <row r="59" spans="1:11">
      <c r="A59" s="523"/>
      <c r="B59" s="524"/>
      <c r="C59" s="524"/>
      <c r="D59" s="545">
        <f ca="1">Calculator!$K$39+Calculator!$K$40</f>
        <v>0</v>
      </c>
      <c r="E59" s="524"/>
      <c r="F59" s="545">
        <f ca="1">Calculator!$K$43</f>
        <v>0.19024192146251218</v>
      </c>
      <c r="G59" s="524"/>
      <c r="H59" s="545">
        <f ca="1">Calculator!$K$44</f>
        <v>0</v>
      </c>
      <c r="I59" s="524"/>
      <c r="J59" s="524"/>
      <c r="K59" s="524"/>
    </row>
    <row r="60" spans="1:11">
      <c r="A60" s="523"/>
      <c r="B60" s="524"/>
      <c r="C60" s="524"/>
      <c r="D60" s="524"/>
      <c r="E60" s="524"/>
      <c r="F60" s="524"/>
      <c r="G60" s="524"/>
      <c r="H60" s="524"/>
      <c r="I60" s="524"/>
      <c r="J60" s="524"/>
      <c r="K60" s="524"/>
    </row>
    <row r="61" spans="1:11">
      <c r="A61" s="523"/>
      <c r="B61" s="1009" t="s">
        <v>478</v>
      </c>
      <c r="C61" s="1009"/>
      <c r="D61" s="1009"/>
      <c r="E61" s="1009"/>
      <c r="F61" s="1009"/>
      <c r="G61" s="1009"/>
      <c r="H61" s="1009"/>
      <c r="I61" s="1009"/>
      <c r="J61" s="1009"/>
      <c r="K61" s="524"/>
    </row>
    <row r="62" spans="1:11">
      <c r="A62" s="523"/>
      <c r="B62" s="529"/>
      <c r="C62" s="546"/>
      <c r="D62" s="546"/>
      <c r="E62" s="546"/>
      <c r="F62" s="730">
        <f ca="1">$D$48-$D$58-$F$58-$H$58+$A$48+$A$52</f>
        <v>27207424.642191555</v>
      </c>
      <c r="G62" s="546"/>
      <c r="H62" s="724" t="str">
        <f ca="1">FIXED(F62-F85,0)&amp;" over No Gifts"</f>
        <v>1,247,316 over No Gifts</v>
      </c>
      <c r="I62" s="546"/>
      <c r="J62" s="546"/>
      <c r="K62" s="524"/>
    </row>
    <row r="63" spans="1:11">
      <c r="A63" s="523"/>
      <c r="B63" s="524"/>
      <c r="C63" s="524"/>
      <c r="D63" s="524"/>
      <c r="E63" s="524"/>
      <c r="F63" s="524"/>
      <c r="G63" s="524"/>
      <c r="H63" s="524"/>
      <c r="I63" s="524"/>
      <c r="J63" s="524"/>
      <c r="K63" s="524"/>
    </row>
    <row r="64" spans="1:11" ht="40.5" customHeight="1">
      <c r="A64" s="523"/>
      <c r="B64" s="524"/>
      <c r="C64" s="524"/>
      <c r="D64" s="524"/>
      <c r="E64" s="524"/>
      <c r="F64" s="524"/>
      <c r="G64" s="524"/>
      <c r="H64" s="524"/>
      <c r="I64" s="524"/>
      <c r="J64" s="524"/>
      <c r="K64" s="524"/>
    </row>
    <row r="65" spans="1:11" ht="15.75">
      <c r="A65" s="1020" t="s">
        <v>493</v>
      </c>
      <c r="B65" s="1021"/>
      <c r="C65" s="1021"/>
      <c r="D65" s="1021"/>
      <c r="E65" s="1021"/>
      <c r="F65" s="1021"/>
      <c r="G65" s="1021"/>
      <c r="H65" s="1021"/>
      <c r="I65" s="1021"/>
      <c r="J65" s="1021"/>
      <c r="K65" s="1021"/>
    </row>
    <row r="66" spans="1:11" ht="15.75">
      <c r="A66" s="526"/>
      <c r="B66" s="527" t="str">
        <f>"     PERMANENT ESTATE TAX LAW:  ["&amp;IF(Calculator!$D$10=TRUE,2,1)&amp;"] "&amp;DOLLAR(Calculator!$D$28,-2)&amp;" Exemption(s), indexed at "&amp;Calculator!$D$29*100&amp;"%, "&amp;Calculator!$D$30*100&amp;"% Tax Rate"</f>
        <v xml:space="preserve">     PERMANENT ESTATE TAX LAW:  [2] $5,250,000 Exemption(s), indexed at 2%, 40% Tax Rate</v>
      </c>
      <c r="C66" s="528"/>
      <c r="D66" s="528"/>
      <c r="E66" s="528"/>
      <c r="F66" s="528"/>
      <c r="G66" s="528"/>
      <c r="H66" s="528"/>
      <c r="I66" s="528"/>
      <c r="J66" s="528"/>
      <c r="K66" s="852"/>
    </row>
    <row r="67" spans="1:11">
      <c r="A67" s="1023" t="str">
        <f ca="1">"Projected Growth for "&amp;FIXED(Calculator!$F$22,0)&amp;" year(s) at "&amp;FIXED(Projections!$M$4*100,2)&amp;"% ("&amp;VLOOKUP(Calculator!$F$22,DATA,3)&amp;"), "&amp;"Ages "&amp;VLOOKUP(Calculator!$F$22,DATA,2)</f>
        <v>Projected Growth for 20 year(s) at 4.00% (2033), Ages 80/80</v>
      </c>
      <c r="B67" s="1023"/>
      <c r="C67" s="1023"/>
      <c r="D67" s="1023"/>
      <c r="E67" s="1023"/>
      <c r="F67" s="1023"/>
      <c r="G67" s="1023"/>
      <c r="H67" s="1023"/>
      <c r="I67" s="1023"/>
      <c r="J67" s="1023"/>
      <c r="K67" s="1023"/>
    </row>
    <row r="68" spans="1:11">
      <c r="A68" s="851"/>
      <c r="B68" s="851"/>
      <c r="C68" s="851"/>
      <c r="D68" s="851"/>
      <c r="E68" s="851"/>
      <c r="F68" s="851"/>
      <c r="G68" s="851"/>
      <c r="H68" s="851"/>
      <c r="I68" s="851"/>
      <c r="J68" s="851"/>
      <c r="K68" s="851"/>
    </row>
    <row r="69" spans="1:11">
      <c r="A69" s="523"/>
      <c r="B69" s="524"/>
      <c r="C69" s="524"/>
      <c r="D69" s="524"/>
      <c r="E69" s="524"/>
      <c r="F69" s="524"/>
      <c r="G69" s="524"/>
      <c r="H69" s="524"/>
      <c r="I69" s="524"/>
      <c r="J69" s="524"/>
      <c r="K69" s="524"/>
    </row>
    <row r="70" spans="1:11">
      <c r="A70" s="1009" t="s">
        <v>387</v>
      </c>
      <c r="B70" s="1009"/>
      <c r="C70" s="529"/>
      <c r="D70" s="1022" t="str">
        <f>IF(Calculator!$F$4="","GROSS ESTATE","COMBINED GROSS ESTATE")</f>
        <v>COMBINED GROSS ESTATE</v>
      </c>
      <c r="E70" s="1022"/>
      <c r="F70" s="1022"/>
      <c r="G70" s="1022"/>
      <c r="H70" s="1022"/>
      <c r="I70" s="671"/>
      <c r="J70" s="524"/>
      <c r="K70" s="524"/>
    </row>
    <row r="71" spans="1:11">
      <c r="A71" s="1011">
        <f ca="1">VLOOKUP(Calculator!$F$22,DATA3,10)</f>
        <v>0</v>
      </c>
      <c r="B71" s="1011"/>
      <c r="C71" s="524"/>
      <c r="D71" s="1016">
        <f ca="1">VLOOKUP(Calculator!$F$22,DATA3,9)</f>
        <v>32866847.145501319</v>
      </c>
      <c r="E71" s="1016"/>
      <c r="F71" s="1016"/>
      <c r="G71" s="1016"/>
      <c r="H71" s="1016"/>
      <c r="I71" s="531"/>
      <c r="J71" s="524"/>
      <c r="K71" s="524"/>
    </row>
    <row r="72" spans="1:11">
      <c r="A72" s="1017" t="str">
        <f>FIXED(0,0)&amp;" at "&amp;0*100&amp;"%"</f>
        <v>0 at 0%</v>
      </c>
      <c r="B72" s="1012"/>
      <c r="C72" s="532">
        <f ca="1">-TaxTables!AA5</f>
        <v>0</v>
      </c>
      <c r="D72" s="1018" t="s">
        <v>388</v>
      </c>
      <c r="E72" s="1018"/>
      <c r="F72" s="1018"/>
      <c r="G72" s="1018"/>
      <c r="H72" s="1018"/>
      <c r="I72" s="672"/>
      <c r="J72" s="524"/>
      <c r="K72" s="524"/>
    </row>
    <row r="73" spans="1:11">
      <c r="A73" s="523"/>
      <c r="B73" s="524"/>
      <c r="C73" s="524"/>
      <c r="D73" s="1019"/>
      <c r="E73" s="1019"/>
      <c r="F73" s="524"/>
      <c r="G73" s="524"/>
      <c r="H73" s="524"/>
      <c r="I73" s="524"/>
      <c r="J73" s="524"/>
      <c r="K73" s="524"/>
    </row>
    <row r="74" spans="1:11">
      <c r="A74" s="1009" t="s">
        <v>389</v>
      </c>
      <c r="B74" s="1009"/>
      <c r="C74" s="529"/>
      <c r="D74" s="529"/>
      <c r="E74" s="524"/>
      <c r="F74" s="524"/>
      <c r="G74" s="524"/>
      <c r="H74" s="524"/>
      <c r="I74" s="524"/>
      <c r="J74" s="524"/>
      <c r="K74" s="524"/>
    </row>
    <row r="75" spans="1:11">
      <c r="A75" s="1011">
        <f ca="1">VLOOKUP(Calculator!$F$22,DATA3,11)</f>
        <v>0</v>
      </c>
      <c r="B75" s="1011"/>
      <c r="C75" s="524"/>
      <c r="D75" s="524"/>
      <c r="E75" s="524"/>
      <c r="F75" s="524"/>
      <c r="G75" s="524"/>
      <c r="H75" s="524"/>
      <c r="I75" s="524"/>
      <c r="J75" s="524"/>
      <c r="K75" s="524"/>
    </row>
    <row r="76" spans="1:11">
      <c r="A76" s="1012" t="str">
        <f>IF(Calculator!$D$20=TRUE,"Premiums: "&amp;FIXED(Calculator!F74,0)&amp;" x "&amp;FIXED(Calculator!H74,0)&amp;" Yrs","")</f>
        <v/>
      </c>
      <c r="B76" s="1012"/>
      <c r="C76" s="524"/>
      <c r="D76" s="729" t="s">
        <v>390</v>
      </c>
      <c r="E76" s="673"/>
      <c r="F76" s="729" t="str">
        <f>IF(Calculator!$F$4="","TAXABLE ESTATE","NET to SPOUSE/TRUST")</f>
        <v>NET to SPOUSE/TRUST</v>
      </c>
      <c r="G76" s="673"/>
      <c r="H76" s="729" t="s">
        <v>391</v>
      </c>
      <c r="I76" s="673"/>
      <c r="J76" s="529"/>
      <c r="K76" s="535"/>
    </row>
    <row r="77" spans="1:11">
      <c r="A77" s="529"/>
      <c r="B77" s="529"/>
      <c r="C77" s="536"/>
      <c r="D77" s="829">
        <f ca="1">IF(Calculator!$F$4="","N/A",(VLOOKUP(Calculator!$F$22,DATA3,9)-VLOOKUP(Calculator!$F$22,DATA3,8))*Calculator!$J$5)</f>
        <v>16433423.57275066</v>
      </c>
      <c r="E77" s="537"/>
      <c r="F77" s="829" t="str">
        <f ca="1">IF(Calculator!$F$4="",FIXED($D$71,0),FIXED($D$71-$D$77-$H$77,0))</f>
        <v>8,633,424</v>
      </c>
      <c r="G77" s="538"/>
      <c r="H77" s="830">
        <f ca="1">IF(Calculator!$F$4="","N/A",Calculator!$S$35-Calculator!$S$38-(Calculator!$I$24*Calculator!$J$5))</f>
        <v>7800000</v>
      </c>
      <c r="I77" s="539"/>
      <c r="J77" s="529"/>
      <c r="K77" s="540"/>
    </row>
    <row r="78" spans="1:11">
      <c r="A78" s="1013"/>
      <c r="B78" s="1014"/>
      <c r="C78" s="524"/>
      <c r="D78" s="541">
        <f>Calculator!$J$5</f>
        <v>0.5</v>
      </c>
      <c r="E78" s="524"/>
      <c r="F78" s="266" t="s">
        <v>392</v>
      </c>
      <c r="G78" s="524"/>
      <c r="H78" s="266" t="s">
        <v>393</v>
      </c>
      <c r="I78" s="524"/>
      <c r="J78" s="524"/>
      <c r="K78" s="524"/>
    </row>
    <row r="79" spans="1:11">
      <c r="A79" s="1015"/>
      <c r="B79" s="1015"/>
      <c r="C79" s="524"/>
      <c r="D79" s="524"/>
      <c r="E79" s="524"/>
      <c r="F79" s="524"/>
      <c r="G79" s="524"/>
      <c r="H79" s="524"/>
      <c r="I79" s="524"/>
      <c r="J79" s="524"/>
      <c r="K79" s="524"/>
    </row>
    <row r="80" spans="1:11">
      <c r="A80" s="1008"/>
      <c r="B80" s="1008"/>
      <c r="C80" s="524"/>
      <c r="D80" s="729" t="str">
        <f>"'"&amp;Calculator!$D$13&amp;"' ESTATE TAX *"</f>
        <v>'FL' ESTATE TAX *</v>
      </c>
      <c r="E80" s="542"/>
      <c r="F80" s="729" t="s">
        <v>394</v>
      </c>
      <c r="G80" s="524"/>
      <c r="H80" s="729" t="s">
        <v>395</v>
      </c>
      <c r="I80" s="524"/>
      <c r="J80" s="524"/>
      <c r="K80" s="524"/>
    </row>
    <row r="81" spans="1:11">
      <c r="A81" s="523"/>
      <c r="B81" s="524"/>
      <c r="C81" s="524"/>
      <c r="D81" s="832">
        <f ca="1">Calculator!$S$39+Calculator!$S$40</f>
        <v>0</v>
      </c>
      <c r="E81" s="543"/>
      <c r="F81" s="832">
        <f ca="1">Calculator!$S$43</f>
        <v>6906738.8582005277</v>
      </c>
      <c r="G81" s="544"/>
      <c r="H81" s="831">
        <f ca="1">Calculator!$S$44</f>
        <v>0</v>
      </c>
      <c r="I81" s="524"/>
      <c r="J81" s="524"/>
      <c r="K81" s="524"/>
    </row>
    <row r="82" spans="1:11">
      <c r="A82" s="523"/>
      <c r="B82" s="524"/>
      <c r="C82" s="524"/>
      <c r="D82" s="545">
        <f ca="1">Calculator!$T$39+Calculator!$T$40</f>
        <v>0</v>
      </c>
      <c r="E82" s="524"/>
      <c r="F82" s="545">
        <f ca="1">Calculator!$T$43</f>
        <v>0.23217055638723486</v>
      </c>
      <c r="G82" s="524"/>
      <c r="H82" s="545">
        <f ca="1">Calculator!$T$44</f>
        <v>0</v>
      </c>
      <c r="I82" s="524"/>
      <c r="J82" s="524"/>
      <c r="K82" s="524"/>
    </row>
    <row r="83" spans="1:11">
      <c r="A83" s="523"/>
      <c r="B83" s="524"/>
      <c r="C83" s="524"/>
      <c r="D83" s="524"/>
      <c r="E83" s="524"/>
      <c r="F83" s="524"/>
      <c r="G83" s="524"/>
      <c r="H83" s="524"/>
      <c r="I83" s="524"/>
      <c r="J83" s="524"/>
      <c r="K83" s="524"/>
    </row>
    <row r="84" spans="1:11">
      <c r="A84" s="523"/>
      <c r="B84" s="1009" t="s">
        <v>479</v>
      </c>
      <c r="C84" s="1009"/>
      <c r="D84" s="1009"/>
      <c r="E84" s="1009"/>
      <c r="F84" s="1009"/>
      <c r="G84" s="1009"/>
      <c r="H84" s="1009"/>
      <c r="I84" s="1009"/>
      <c r="J84" s="1009"/>
      <c r="K84" s="524"/>
    </row>
    <row r="85" spans="1:11">
      <c r="A85" s="523"/>
      <c r="B85" s="529"/>
      <c r="C85" s="546"/>
      <c r="D85" s="546"/>
      <c r="E85" s="546"/>
      <c r="F85" s="730">
        <f ca="1">$D$71-$D$81-$F$81-$H$81+$A$71+$A$75</f>
        <v>25960108.287300792</v>
      </c>
      <c r="G85" s="546"/>
      <c r="H85" s="546"/>
      <c r="I85" s="546"/>
      <c r="J85" s="546"/>
      <c r="K85" s="524"/>
    </row>
    <row r="86" spans="1:11" ht="12.75" customHeight="1">
      <c r="A86" s="523"/>
      <c r="B86" s="524"/>
      <c r="C86" s="524"/>
      <c r="D86" s="524"/>
      <c r="E86" s="524"/>
      <c r="F86" s="524"/>
      <c r="G86" s="524"/>
      <c r="H86" s="524"/>
      <c r="I86" s="524"/>
      <c r="J86" s="524"/>
      <c r="K86" s="524"/>
    </row>
    <row r="87" spans="1:11" ht="11.25" customHeight="1">
      <c r="B87" s="1010" t="s">
        <v>473</v>
      </c>
      <c r="C87" s="1010"/>
      <c r="D87" s="1010"/>
      <c r="E87" s="1010"/>
      <c r="F87" s="1010"/>
      <c r="G87" s="1010"/>
      <c r="H87" s="1010"/>
      <c r="I87" s="1010"/>
      <c r="J87" s="1010"/>
      <c r="K87" s="524"/>
    </row>
  </sheetData>
  <sheetProtection password="9227" sheet="1" objects="1" scenarios="1" selectLockedCells="1" selectUnlockedCells="1"/>
  <mergeCells count="63">
    <mergeCell ref="A35:K35"/>
    <mergeCell ref="A37:H37"/>
    <mergeCell ref="A38:H38"/>
    <mergeCell ref="A23:B23"/>
    <mergeCell ref="A25:B25"/>
    <mergeCell ref="A26:B26"/>
    <mergeCell ref="A27:B27"/>
    <mergeCell ref="B31:J31"/>
    <mergeCell ref="A19:B19"/>
    <mergeCell ref="D19:H19"/>
    <mergeCell ref="D20:E20"/>
    <mergeCell ref="A21:B21"/>
    <mergeCell ref="A22:B22"/>
    <mergeCell ref="A14:K14"/>
    <mergeCell ref="A17:B17"/>
    <mergeCell ref="D17:H17"/>
    <mergeCell ref="A18:B18"/>
    <mergeCell ref="D18:H18"/>
    <mergeCell ref="A8:K8"/>
    <mergeCell ref="A9:K9"/>
    <mergeCell ref="A10:K10"/>
    <mergeCell ref="A12:K12"/>
    <mergeCell ref="B1:C1"/>
    <mergeCell ref="D1:K1"/>
    <mergeCell ref="A3:K3"/>
    <mergeCell ref="A4:K4"/>
    <mergeCell ref="A6:K6"/>
    <mergeCell ref="A7:K7"/>
    <mergeCell ref="B40:C40"/>
    <mergeCell ref="D40:K40"/>
    <mergeCell ref="A42:K42"/>
    <mergeCell ref="A44:K44"/>
    <mergeCell ref="A47:B47"/>
    <mergeCell ref="D47:H47"/>
    <mergeCell ref="A48:B48"/>
    <mergeCell ref="D48:H48"/>
    <mergeCell ref="A49:B49"/>
    <mergeCell ref="D49:H49"/>
    <mergeCell ref="D50:E50"/>
    <mergeCell ref="A51:B51"/>
    <mergeCell ref="A52:B52"/>
    <mergeCell ref="A53:B53"/>
    <mergeCell ref="A55:B55"/>
    <mergeCell ref="A56:B56"/>
    <mergeCell ref="A57:B57"/>
    <mergeCell ref="B61:J61"/>
    <mergeCell ref="A65:K65"/>
    <mergeCell ref="A70:B70"/>
    <mergeCell ref="D70:H70"/>
    <mergeCell ref="A67:K67"/>
    <mergeCell ref="A71:B71"/>
    <mergeCell ref="D71:H71"/>
    <mergeCell ref="A72:B72"/>
    <mergeCell ref="D72:H72"/>
    <mergeCell ref="D73:E73"/>
    <mergeCell ref="A80:B80"/>
    <mergeCell ref="B84:J84"/>
    <mergeCell ref="B87:J87"/>
    <mergeCell ref="A74:B74"/>
    <mergeCell ref="A75:B75"/>
    <mergeCell ref="A76:B76"/>
    <mergeCell ref="A78:B78"/>
    <mergeCell ref="A79:B79"/>
  </mergeCells>
  <printOptions horizontalCentered="1"/>
  <pageMargins left="0.7" right="0.7" top="0.75" bottom="0.5" header="0.3" footer="0.3"/>
  <pageSetup scale="87" fitToHeight="2" orientation="portrait" horizontalDpi="1200" verticalDpi="1200" r:id="rId1"/>
  <rowBreaks count="1" manualBreakCount="1">
    <brk id="38" max="16383" man="1"/>
  </rowBreaks>
  <drawing r:id="rId2"/>
</worksheet>
</file>

<file path=xl/worksheets/sheet4.xml><?xml version="1.0" encoding="utf-8"?>
<worksheet xmlns="http://schemas.openxmlformats.org/spreadsheetml/2006/main" xmlns:r="http://schemas.openxmlformats.org/officeDocument/2006/relationships">
  <sheetPr>
    <tabColor rgb="FFC00000"/>
    <pageSetUpPr fitToPage="1"/>
  </sheetPr>
  <dimension ref="A1:P102"/>
  <sheetViews>
    <sheetView showGridLines="0" showRuler="0" zoomScale="85" zoomScaleNormal="85" workbookViewId="0">
      <selection activeCell="D10" sqref="D10"/>
    </sheetView>
  </sheetViews>
  <sheetFormatPr defaultRowHeight="12.75"/>
  <cols>
    <col min="1" max="1" width="20.875" style="128" customWidth="1"/>
    <col min="2" max="2" width="15.625" style="128" customWidth="1"/>
    <col min="3" max="3" width="0.875" style="128" customWidth="1"/>
    <col min="4" max="4" width="13.375" style="128" customWidth="1"/>
    <col min="5" max="5" width="2.625" style="128" customWidth="1"/>
    <col min="6" max="6" width="13.375" style="128" customWidth="1"/>
    <col min="7" max="7" width="1.125" style="128" customWidth="1"/>
    <col min="8" max="8" width="10.625" style="128" customWidth="1"/>
    <col min="9" max="9" width="0.875" style="128" customWidth="1"/>
    <col min="10" max="10" width="18.125" style="128" customWidth="1"/>
    <col min="11" max="11" width="14.375" style="128" customWidth="1"/>
    <col min="12" max="13" width="0.875" style="128" customWidth="1"/>
    <col min="14" max="14" width="14.125" style="128" customWidth="1"/>
    <col min="15" max="15" width="12.625" style="128" customWidth="1"/>
    <col min="16" max="16384" width="9" style="128"/>
  </cols>
  <sheetData>
    <row r="1" spans="1:16" ht="30.75" customHeight="1" thickBot="1">
      <c r="A1" s="522"/>
      <c r="B1" s="1024" t="s">
        <v>488</v>
      </c>
      <c r="C1" s="1025"/>
      <c r="D1" s="1039" t="s">
        <v>402</v>
      </c>
      <c r="E1" s="1040"/>
      <c r="F1" s="1040"/>
      <c r="G1" s="1040"/>
      <c r="H1" s="1040"/>
      <c r="I1" s="1040"/>
      <c r="J1" s="1040"/>
      <c r="K1" s="1040"/>
      <c r="L1" s="1040"/>
    </row>
    <row r="2" spans="1:16" ht="6" customHeight="1">
      <c r="A2" s="261"/>
      <c r="B2" s="261"/>
      <c r="C2" s="261"/>
      <c r="D2" s="261"/>
      <c r="E2" s="261"/>
      <c r="F2" s="261"/>
      <c r="G2" s="261"/>
      <c r="H2" s="261"/>
      <c r="I2" s="261"/>
      <c r="J2" s="261"/>
      <c r="K2" s="261"/>
    </row>
    <row r="3" spans="1:16" s="351" customFormat="1" ht="17.25" customHeight="1">
      <c r="A3" s="1046" t="s">
        <v>436</v>
      </c>
      <c r="B3" s="1046"/>
      <c r="C3" s="1046"/>
      <c r="D3" s="1046"/>
      <c r="E3" s="1046"/>
      <c r="F3" s="1046"/>
      <c r="G3" s="1046"/>
      <c r="H3" s="1046"/>
      <c r="I3" s="1046"/>
      <c r="J3" s="1046"/>
      <c r="K3" s="1046"/>
      <c r="N3" s="1041" t="s">
        <v>270</v>
      </c>
      <c r="O3" s="1041"/>
    </row>
    <row r="4" spans="1:16" ht="17.25" customHeight="1">
      <c r="A4" s="261"/>
      <c r="B4" s="261"/>
      <c r="C4" s="261"/>
      <c r="D4" s="261"/>
      <c r="E4" s="261"/>
      <c r="F4" s="261"/>
      <c r="G4" s="261"/>
      <c r="H4" s="352" t="s">
        <v>341</v>
      </c>
      <c r="I4" s="352"/>
      <c r="J4" s="393"/>
      <c r="K4" s="261"/>
      <c r="N4" s="1049" t="s">
        <v>264</v>
      </c>
      <c r="O4" s="1050"/>
    </row>
    <row r="5" spans="1:16" ht="5.25" customHeight="1">
      <c r="L5" s="138"/>
      <c r="M5" s="138"/>
      <c r="N5" s="138"/>
    </row>
    <row r="6" spans="1:16" ht="17.25" customHeight="1">
      <c r="A6" s="363" t="s">
        <v>314</v>
      </c>
      <c r="B6" s="359"/>
      <c r="C6" s="359"/>
      <c r="D6" s="359"/>
      <c r="E6" s="359"/>
      <c r="F6" s="359"/>
      <c r="G6" s="359"/>
      <c r="H6" s="359"/>
      <c r="I6" s="359"/>
      <c r="J6" s="360" t="str">
        <f>IF(SUM(Adjustments!$E$5:$E$65)&gt;0,"[See Manual Adjustments Page]","")</f>
        <v/>
      </c>
      <c r="K6" s="360"/>
      <c r="L6" s="361"/>
      <c r="M6" s="138"/>
      <c r="N6" s="1047" t="s">
        <v>337</v>
      </c>
      <c r="O6" s="1048"/>
    </row>
    <row r="7" spans="1:16" ht="6" customHeight="1">
      <c r="A7" s="505"/>
      <c r="B7" s="269"/>
      <c r="C7" s="269"/>
      <c r="D7" s="269"/>
      <c r="E7" s="269"/>
      <c r="F7" s="269"/>
      <c r="G7" s="269"/>
      <c r="H7" s="269"/>
      <c r="I7" s="269"/>
      <c r="J7" s="506"/>
      <c r="K7" s="506"/>
      <c r="L7" s="507"/>
      <c r="M7" s="138"/>
      <c r="N7" s="412"/>
      <c r="O7" s="413"/>
    </row>
    <row r="8" spans="1:16" ht="17.25" customHeight="1">
      <c r="A8" s="265"/>
      <c r="B8" s="265"/>
      <c r="C8" s="265"/>
      <c r="D8" s="624" t="s">
        <v>305</v>
      </c>
      <c r="E8" s="625"/>
      <c r="F8" s="624" t="s">
        <v>306</v>
      </c>
      <c r="G8" s="266"/>
      <c r="H8" s="265"/>
      <c r="I8" s="433"/>
      <c r="J8" s="434"/>
      <c r="K8" s="435"/>
      <c r="L8" s="436"/>
      <c r="M8" s="138"/>
      <c r="N8" s="624" t="s">
        <v>305</v>
      </c>
      <c r="O8" s="624" t="s">
        <v>306</v>
      </c>
    </row>
    <row r="9" spans="1:16" ht="18.75" customHeight="1">
      <c r="A9" s="924" t="s">
        <v>363</v>
      </c>
      <c r="B9" s="924"/>
      <c r="C9" s="226"/>
      <c r="D9" s="627">
        <f>Calculator!D4</f>
        <v>19360</v>
      </c>
      <c r="E9" s="628"/>
      <c r="F9" s="627">
        <f>IF(Calculator!F4="","",Calculator!F4)</f>
        <v>19360</v>
      </c>
      <c r="G9" s="451"/>
      <c r="H9" s="448"/>
      <c r="I9" s="437"/>
      <c r="J9" s="1034" t="s">
        <v>253</v>
      </c>
      <c r="K9" s="1035"/>
      <c r="L9" s="452"/>
      <c r="M9" s="453"/>
      <c r="N9" s="894">
        <f ca="1">ROUNDDOWN(($O$10-Calculator!$D$4)/365,0)</f>
        <v>60</v>
      </c>
      <c r="O9" s="894">
        <f ca="1">IF(Calculator!F4="","",ROUNDDOWN(($O$10-Calculator!$F$4)/365,0))</f>
        <v>60</v>
      </c>
    </row>
    <row r="10" spans="1:16" ht="17.25" customHeight="1">
      <c r="A10" s="1037" t="s">
        <v>302</v>
      </c>
      <c r="B10" s="1037"/>
      <c r="C10" s="448"/>
      <c r="D10" s="626">
        <v>67</v>
      </c>
      <c r="E10" s="863">
        <f ca="1">D10-N9</f>
        <v>7</v>
      </c>
      <c r="F10" s="1044" t="s">
        <v>333</v>
      </c>
      <c r="G10" s="454"/>
      <c r="H10" s="1043"/>
      <c r="I10" s="455"/>
      <c r="J10" s="456"/>
      <c r="K10" s="456"/>
      <c r="L10" s="452"/>
      <c r="M10" s="453"/>
      <c r="N10" s="498" t="s">
        <v>364</v>
      </c>
      <c r="O10" s="499">
        <f ca="1">NOW()</f>
        <v>41368.492409837963</v>
      </c>
    </row>
    <row r="11" spans="1:16" ht="17.25" customHeight="1">
      <c r="A11" s="1037" t="s">
        <v>454</v>
      </c>
      <c r="B11" s="1037"/>
      <c r="C11" s="448"/>
      <c r="D11" s="583">
        <v>90</v>
      </c>
      <c r="E11" s="863">
        <f ca="1">D11-N9</f>
        <v>30</v>
      </c>
      <c r="F11" s="1045"/>
      <c r="G11" s="454"/>
      <c r="H11" s="1043"/>
      <c r="I11" s="455"/>
      <c r="J11" s="457" t="s">
        <v>254</v>
      </c>
      <c r="K11" s="458">
        <f ca="1">IF($K$35&gt;0,$D$35,0)</f>
        <v>0</v>
      </c>
      <c r="L11" s="452"/>
      <c r="M11" s="453"/>
      <c r="N11" s="453"/>
      <c r="O11" s="448"/>
    </row>
    <row r="12" spans="1:16" ht="17.25" customHeight="1">
      <c r="A12" s="447" t="s">
        <v>338</v>
      </c>
      <c r="B12" s="447"/>
      <c r="C12" s="448"/>
      <c r="D12" s="584">
        <v>0.2</v>
      </c>
      <c r="E12" s="585"/>
      <c r="F12" s="584">
        <f>D12</f>
        <v>0.2</v>
      </c>
      <c r="G12" s="448"/>
      <c r="H12" s="448"/>
      <c r="I12" s="459"/>
      <c r="J12" s="457" t="s">
        <v>255</v>
      </c>
      <c r="K12" s="458">
        <f ca="1">IF($K$36&gt;0,$D$36,0)</f>
        <v>0</v>
      </c>
      <c r="L12" s="452"/>
      <c r="M12" s="453"/>
      <c r="N12" s="633" t="s">
        <v>372</v>
      </c>
      <c r="O12" s="634" t="s">
        <v>412</v>
      </c>
      <c r="P12" s="635" t="s">
        <v>371</v>
      </c>
    </row>
    <row r="13" spans="1:16" ht="17.25" customHeight="1">
      <c r="A13" s="447" t="s">
        <v>304</v>
      </c>
      <c r="B13" s="448"/>
      <c r="C13" s="448"/>
      <c r="D13" s="586">
        <v>0.02</v>
      </c>
      <c r="E13" s="585"/>
      <c r="F13" s="585"/>
      <c r="G13" s="448"/>
      <c r="H13" s="448"/>
      <c r="I13" s="459"/>
      <c r="J13" s="457" t="s">
        <v>256</v>
      </c>
      <c r="K13" s="458">
        <f ca="1">IF($K$40&gt;0,-$D$40,0)</f>
        <v>0</v>
      </c>
      <c r="L13" s="452"/>
      <c r="M13" s="453"/>
      <c r="N13" s="733">
        <v>2013</v>
      </c>
      <c r="O13" s="734">
        <v>5250000</v>
      </c>
      <c r="P13" s="735">
        <v>41866</v>
      </c>
    </row>
    <row r="14" spans="1:16" ht="17.25" customHeight="1">
      <c r="A14" s="448"/>
      <c r="B14" s="448"/>
      <c r="C14" s="448"/>
      <c r="D14" s="585"/>
      <c r="E14" s="585"/>
      <c r="F14" s="585"/>
      <c r="G14" s="448"/>
      <c r="H14" s="448"/>
      <c r="I14" s="459"/>
      <c r="J14" s="457" t="s">
        <v>265</v>
      </c>
      <c r="K14" s="458">
        <f ca="1">IF($F$37-$N$9&lt;=0,D37,0)</f>
        <v>0</v>
      </c>
      <c r="L14" s="452"/>
      <c r="M14" s="448"/>
      <c r="N14" s="448"/>
      <c r="O14" s="448"/>
    </row>
    <row r="15" spans="1:16" ht="17.25" customHeight="1">
      <c r="A15" s="460" t="s">
        <v>311</v>
      </c>
      <c r="B15" s="359"/>
      <c r="C15" s="359"/>
      <c r="D15" s="587"/>
      <c r="E15" s="587"/>
      <c r="F15" s="587"/>
      <c r="G15" s="359"/>
      <c r="H15" s="448"/>
      <c r="I15" s="459"/>
      <c r="J15" s="457" t="s">
        <v>269</v>
      </c>
      <c r="K15" s="458">
        <f ca="1">Projections!$Q$5</f>
        <v>0</v>
      </c>
      <c r="L15" s="452"/>
      <c r="M15" s="448"/>
      <c r="N15" s="448"/>
      <c r="O15" s="448"/>
    </row>
    <row r="16" spans="1:16" ht="17.25" customHeight="1">
      <c r="A16" s="449"/>
      <c r="B16" s="449"/>
      <c r="C16" s="448"/>
      <c r="D16" s="479"/>
      <c r="E16" s="588"/>
      <c r="F16" s="585"/>
      <c r="G16" s="451"/>
      <c r="H16" s="448"/>
      <c r="I16" s="459"/>
      <c r="J16" s="457" t="s">
        <v>257</v>
      </c>
      <c r="K16" s="462">
        <f ca="1">SUM(K11:K15)</f>
        <v>0</v>
      </c>
      <c r="L16" s="452"/>
      <c r="M16" s="448"/>
      <c r="N16" s="448"/>
      <c r="O16" s="448"/>
    </row>
    <row r="17" spans="1:15" ht="17.25" customHeight="1">
      <c r="A17" s="449"/>
      <c r="B17" s="449"/>
      <c r="C17" s="448"/>
      <c r="D17" s="479"/>
      <c r="E17" s="588"/>
      <c r="F17" s="589" t="s">
        <v>308</v>
      </c>
      <c r="G17" s="451"/>
      <c r="H17" s="448"/>
      <c r="I17" s="459"/>
      <c r="J17" s="457" t="str">
        <f>"Taxes @ "&amp;D12*100&amp;"%"</f>
        <v>Taxes @ 20%</v>
      </c>
      <c r="K17" s="458">
        <f ca="1">Projections!R5</f>
        <v>0</v>
      </c>
      <c r="L17" s="452"/>
      <c r="M17" s="448"/>
      <c r="N17" s="448"/>
      <c r="O17" s="448"/>
    </row>
    <row r="18" spans="1:15" ht="17.25" customHeight="1">
      <c r="A18" s="1037" t="s">
        <v>288</v>
      </c>
      <c r="B18" s="1037"/>
      <c r="C18" s="448"/>
      <c r="D18" s="590">
        <v>0</v>
      </c>
      <c r="E18" s="588"/>
      <c r="F18" s="591" t="b">
        <v>1</v>
      </c>
      <c r="G18" s="464"/>
      <c r="H18" s="448"/>
      <c r="I18" s="459"/>
      <c r="J18" s="457" t="s">
        <v>356</v>
      </c>
      <c r="K18" s="465">
        <f>-TaxTables!$D$31</f>
        <v>0</v>
      </c>
      <c r="L18" s="452"/>
      <c r="M18" s="448"/>
      <c r="N18" s="448"/>
      <c r="O18" s="448"/>
    </row>
    <row r="19" spans="1:15" ht="17.25" customHeight="1">
      <c r="A19" s="449" t="s">
        <v>331</v>
      </c>
      <c r="B19" s="449"/>
      <c r="C19" s="448"/>
      <c r="D19" s="582">
        <v>0</v>
      </c>
      <c r="E19" s="588"/>
      <c r="F19" s="479"/>
      <c r="G19" s="464"/>
      <c r="H19" s="450"/>
      <c r="I19" s="459"/>
      <c r="J19" s="457" t="s">
        <v>229</v>
      </c>
      <c r="K19" s="458">
        <f>-D18</f>
        <v>0</v>
      </c>
      <c r="L19" s="452"/>
      <c r="M19" s="448"/>
      <c r="N19" s="448"/>
      <c r="O19" s="448"/>
    </row>
    <row r="20" spans="1:15" ht="17.25" customHeight="1">
      <c r="A20" s="1038" t="s">
        <v>317</v>
      </c>
      <c r="B20" s="1038"/>
      <c r="C20" s="466"/>
      <c r="D20" s="467">
        <f>Calculator!J19</f>
        <v>84000</v>
      </c>
      <c r="E20" s="592"/>
      <c r="F20" s="593"/>
      <c r="G20" s="468"/>
      <c r="H20" s="469"/>
      <c r="I20" s="459"/>
      <c r="J20" s="457" t="s">
        <v>284</v>
      </c>
      <c r="K20" s="458">
        <f>-D20</f>
        <v>-84000</v>
      </c>
      <c r="L20" s="452"/>
      <c r="M20" s="448"/>
      <c r="N20" s="448"/>
      <c r="O20" s="448"/>
    </row>
    <row r="21" spans="1:15" ht="17.25" customHeight="1">
      <c r="A21" s="1036" t="s">
        <v>332</v>
      </c>
      <c r="B21" s="1036"/>
      <c r="C21" s="466"/>
      <c r="D21" s="470">
        <f>Calculator!$I$24</f>
        <v>0</v>
      </c>
      <c r="E21" s="592"/>
      <c r="F21" s="593"/>
      <c r="G21" s="468"/>
      <c r="H21" s="469"/>
      <c r="I21" s="459"/>
      <c r="J21" s="457" t="s">
        <v>258</v>
      </c>
      <c r="K21" s="462">
        <f ca="1">SUM(K16:K20)</f>
        <v>-84000</v>
      </c>
      <c r="L21" s="452"/>
      <c r="M21" s="448"/>
      <c r="N21" s="448"/>
      <c r="O21" s="448"/>
    </row>
    <row r="22" spans="1:15" ht="17.25" customHeight="1">
      <c r="A22" s="448"/>
      <c r="B22" s="448"/>
      <c r="C22" s="448"/>
      <c r="D22" s="585"/>
      <c r="E22" s="585"/>
      <c r="F22" s="585"/>
      <c r="G22" s="448"/>
      <c r="H22" s="448"/>
      <c r="I22" s="471"/>
      <c r="J22" s="472"/>
      <c r="K22" s="472"/>
      <c r="L22" s="473"/>
      <c r="M22" s="448"/>
      <c r="N22" s="448"/>
      <c r="O22" s="448"/>
    </row>
    <row r="23" spans="1:15" ht="6" customHeight="1">
      <c r="A23" s="448"/>
      <c r="B23" s="448"/>
      <c r="C23" s="448"/>
      <c r="D23" s="585"/>
      <c r="E23" s="585"/>
      <c r="F23" s="585"/>
      <c r="G23" s="448"/>
      <c r="H23" s="448"/>
      <c r="I23" s="453"/>
      <c r="J23" s="453"/>
      <c r="K23" s="453"/>
      <c r="L23" s="453"/>
      <c r="M23" s="448"/>
      <c r="N23" s="448"/>
      <c r="O23" s="448"/>
    </row>
    <row r="24" spans="1:15" ht="17.25" customHeight="1">
      <c r="A24" s="460" t="s">
        <v>309</v>
      </c>
      <c r="B24" s="359"/>
      <c r="C24" s="359"/>
      <c r="D24" s="587"/>
      <c r="E24" s="587"/>
      <c r="F24" s="587"/>
      <c r="G24" s="359"/>
      <c r="H24" s="359"/>
      <c r="I24" s="359"/>
      <c r="J24" s="362"/>
      <c r="K24" s="474"/>
      <c r="L24" s="362"/>
      <c r="M24" s="448"/>
      <c r="N24" s="448"/>
      <c r="O24" s="448"/>
    </row>
    <row r="25" spans="1:15" ht="17.25" customHeight="1">
      <c r="A25" s="448"/>
      <c r="B25" s="448"/>
      <c r="C25" s="475"/>
      <c r="D25" s="594" t="s">
        <v>250</v>
      </c>
      <c r="E25" s="273"/>
      <c r="F25" s="594" t="s">
        <v>249</v>
      </c>
      <c r="G25" s="476"/>
      <c r="H25" s="448"/>
      <c r="I25" s="448"/>
      <c r="J25" s="448"/>
      <c r="K25" s="448"/>
      <c r="L25" s="448"/>
      <c r="M25" s="448"/>
      <c r="N25" s="448"/>
      <c r="O25" s="448"/>
    </row>
    <row r="26" spans="1:15" ht="17.25" customHeight="1">
      <c r="A26" s="1037" t="s">
        <v>347</v>
      </c>
      <c r="B26" s="1037"/>
      <c r="C26" s="448"/>
      <c r="D26" s="477">
        <f>Calculator!$D$5</f>
        <v>15000000</v>
      </c>
      <c r="E26" s="595"/>
      <c r="F26" s="596">
        <f>Calculator!$F$5</f>
        <v>0.04</v>
      </c>
      <c r="G26" s="478"/>
      <c r="H26" s="448"/>
      <c r="I26" s="448"/>
      <c r="J26" s="448"/>
      <c r="K26" s="448"/>
      <c r="L26" s="448"/>
      <c r="M26" s="448"/>
      <c r="N26" s="448"/>
      <c r="O26" s="448"/>
    </row>
    <row r="27" spans="1:15" ht="17.25" customHeight="1">
      <c r="A27" s="449" t="s">
        <v>230</v>
      </c>
      <c r="B27" s="448"/>
      <c r="C27" s="448"/>
      <c r="D27" s="590">
        <v>0</v>
      </c>
      <c r="E27" s="599"/>
      <c r="F27" s="598">
        <v>0.06</v>
      </c>
      <c r="G27" s="478"/>
      <c r="H27" s="448"/>
      <c r="I27" s="448"/>
      <c r="J27" s="448"/>
      <c r="K27" s="448"/>
      <c r="L27" s="448"/>
      <c r="M27" s="448"/>
      <c r="N27" s="448"/>
      <c r="O27" s="448"/>
    </row>
    <row r="28" spans="1:15" ht="17.25" customHeight="1">
      <c r="A28" s="449" t="s">
        <v>231</v>
      </c>
      <c r="B28" s="448"/>
      <c r="C28" s="448"/>
      <c r="D28" s="590">
        <v>0</v>
      </c>
      <c r="E28" s="597"/>
      <c r="F28" s="598">
        <v>0.03</v>
      </c>
      <c r="G28" s="478"/>
      <c r="H28" s="448"/>
      <c r="I28" s="448"/>
      <c r="J28" s="448"/>
      <c r="K28" s="448"/>
      <c r="L28" s="448"/>
      <c r="M28" s="448"/>
      <c r="N28" s="448"/>
      <c r="O28" s="448"/>
    </row>
    <row r="29" spans="1:15" ht="17.25" customHeight="1">
      <c r="A29" s="449" t="s">
        <v>339</v>
      </c>
      <c r="B29" s="448"/>
      <c r="C29" s="448"/>
      <c r="D29" s="590">
        <v>0</v>
      </c>
      <c r="E29" s="479"/>
      <c r="F29" s="598">
        <v>0.04</v>
      </c>
      <c r="G29" s="478"/>
      <c r="H29" s="621">
        <v>15</v>
      </c>
      <c r="I29" s="448"/>
      <c r="J29" s="501" t="s">
        <v>340</v>
      </c>
      <c r="K29" s="480" t="str">
        <f>DOLLAR(TaxTables!B29,0)</f>
        <v>$0</v>
      </c>
      <c r="L29" s="448"/>
      <c r="M29" s="448"/>
      <c r="N29" s="448"/>
      <c r="O29" s="448"/>
    </row>
    <row r="30" spans="1:15" ht="17.25" customHeight="1">
      <c r="A30" s="447" t="s">
        <v>301</v>
      </c>
      <c r="B30" s="481"/>
      <c r="C30" s="482"/>
      <c r="D30" s="479">
        <f>SUM(D26:D28)-D29</f>
        <v>15000000</v>
      </c>
      <c r="E30" s="581"/>
      <c r="F30" s="600"/>
      <c r="G30" s="453"/>
      <c r="H30" s="453"/>
      <c r="I30" s="453"/>
      <c r="J30" s="453"/>
      <c r="K30" s="500" t="s">
        <v>342</v>
      </c>
      <c r="L30" s="448"/>
      <c r="M30" s="448"/>
      <c r="N30" s="448"/>
      <c r="O30" s="448"/>
    </row>
    <row r="31" spans="1:15" ht="17.25" customHeight="1">
      <c r="A31" s="447" t="str">
        <f>"Projected Yrs. / Projected Net Worth in "&amp;'Additional Input'!$N$13+$D$31</f>
        <v>Projected Yrs. / Projected Net Worth in 2033</v>
      </c>
      <c r="B31" s="448"/>
      <c r="C31" s="448"/>
      <c r="D31" s="483">
        <f>Calculator!$F$22</f>
        <v>20</v>
      </c>
      <c r="E31" s="581"/>
      <c r="F31" s="479">
        <f ca="1">VLOOKUP(Calculator!$F$22,Projections,9)</f>
        <v>29748556.258274414</v>
      </c>
      <c r="G31" s="484"/>
      <c r="H31" s="485"/>
      <c r="I31" s="485"/>
      <c r="J31" s="485"/>
      <c r="K31" s="448"/>
      <c r="L31" s="448"/>
      <c r="M31" s="448"/>
      <c r="N31" s="448"/>
      <c r="O31" s="448"/>
    </row>
    <row r="32" spans="1:15" ht="15" customHeight="1">
      <c r="A32" s="269"/>
      <c r="B32" s="269"/>
      <c r="C32" s="269"/>
      <c r="D32" s="601"/>
      <c r="E32" s="601"/>
      <c r="F32" s="601"/>
      <c r="G32" s="269"/>
      <c r="H32" s="269"/>
      <c r="I32" s="269"/>
      <c r="J32" s="269"/>
      <c r="K32" s="486" t="str">
        <f>IF(Calculator!$H$8&gt;0,IF(Calculator!$F$22&lt;4,"ADDED BACK",""),"")</f>
        <v/>
      </c>
      <c r="L32" s="448"/>
      <c r="M32" s="448"/>
      <c r="N32" s="448"/>
      <c r="O32" s="448"/>
    </row>
    <row r="33" spans="1:15" ht="17.25" customHeight="1">
      <c r="A33" s="460" t="s">
        <v>312</v>
      </c>
      <c r="B33" s="359"/>
      <c r="C33" s="359"/>
      <c r="D33" s="587"/>
      <c r="E33" s="587"/>
      <c r="F33" s="587"/>
      <c r="G33" s="359"/>
      <c r="H33" s="359"/>
      <c r="I33" s="359"/>
      <c r="J33" s="359"/>
      <c r="K33" s="474" t="str">
        <f>IF(SUM(Adjustments!$C$5:$C$65)&gt;0,"[See Manual Adjustments Page]","")</f>
        <v/>
      </c>
      <c r="L33" s="362"/>
      <c r="M33" s="453"/>
      <c r="N33" s="453"/>
      <c r="O33" s="453"/>
    </row>
    <row r="34" spans="1:15" ht="17.25" customHeight="1">
      <c r="A34" s="448"/>
      <c r="B34" s="448"/>
      <c r="C34" s="448"/>
      <c r="D34" s="585"/>
      <c r="E34" s="585"/>
      <c r="F34" s="585"/>
      <c r="G34" s="448"/>
      <c r="H34" s="497" t="s">
        <v>308</v>
      </c>
      <c r="I34" s="463"/>
      <c r="J34" s="448"/>
      <c r="K34" s="487"/>
      <c r="L34" s="448"/>
      <c r="M34" s="453"/>
      <c r="N34" s="453"/>
      <c r="O34" s="453"/>
    </row>
    <row r="35" spans="1:15" ht="17.25" customHeight="1">
      <c r="A35" s="1037" t="s">
        <v>251</v>
      </c>
      <c r="B35" s="1037"/>
      <c r="C35" s="448"/>
      <c r="D35" s="590">
        <v>0</v>
      </c>
      <c r="E35" s="588"/>
      <c r="F35" s="585"/>
      <c r="G35" s="448"/>
      <c r="H35" s="612" t="b">
        <v>1</v>
      </c>
      <c r="I35" s="450"/>
      <c r="J35" s="502" t="s">
        <v>326</v>
      </c>
      <c r="K35" s="582">
        <f ca="1">$D$10-$N$9</f>
        <v>7</v>
      </c>
      <c r="L35" s="448"/>
      <c r="M35" s="453"/>
      <c r="N35" s="453"/>
      <c r="O35" s="453"/>
    </row>
    <row r="36" spans="1:15" ht="17.25" customHeight="1">
      <c r="A36" s="1037" t="s">
        <v>252</v>
      </c>
      <c r="B36" s="1037"/>
      <c r="C36" s="448"/>
      <c r="D36" s="590">
        <v>0</v>
      </c>
      <c r="E36" s="588"/>
      <c r="F36" s="585"/>
      <c r="G36" s="448"/>
      <c r="H36" s="613" t="b">
        <v>1</v>
      </c>
      <c r="I36" s="450"/>
      <c r="J36" s="502" t="s">
        <v>326</v>
      </c>
      <c r="K36" s="582">
        <f ca="1">$D$11-$N$9+1</f>
        <v>31</v>
      </c>
      <c r="L36" s="448"/>
      <c r="M36" s="453"/>
      <c r="N36" s="453"/>
      <c r="O36" s="453"/>
    </row>
    <row r="37" spans="1:15" ht="17.25" customHeight="1">
      <c r="A37" s="1037" t="s">
        <v>307</v>
      </c>
      <c r="B37" s="1037"/>
      <c r="C37" s="448"/>
      <c r="D37" s="602">
        <v>0</v>
      </c>
      <c r="E37" s="588"/>
      <c r="F37" s="582">
        <f>$D$10</f>
        <v>67</v>
      </c>
      <c r="G37" s="451"/>
      <c r="H37" s="614" t="b">
        <v>1</v>
      </c>
      <c r="I37" s="450"/>
      <c r="J37" s="503" t="s">
        <v>325</v>
      </c>
      <c r="K37" s="611" t="b">
        <v>0</v>
      </c>
      <c r="L37" s="448"/>
      <c r="M37" s="453"/>
      <c r="N37" s="453"/>
      <c r="O37" s="453"/>
    </row>
    <row r="38" spans="1:15" ht="17.25" customHeight="1">
      <c r="A38" s="448"/>
      <c r="B38" s="447"/>
      <c r="C38" s="448"/>
      <c r="D38" s="585"/>
      <c r="E38" s="588"/>
      <c r="F38" s="603"/>
      <c r="G38" s="451"/>
      <c r="H38" s="615"/>
      <c r="I38" s="450"/>
      <c r="J38" s="488"/>
      <c r="K38" s="581"/>
      <c r="L38" s="448"/>
      <c r="M38" s="453"/>
      <c r="N38" s="453"/>
      <c r="O38" s="453"/>
    </row>
    <row r="39" spans="1:15" ht="17.25" customHeight="1">
      <c r="A39" s="1042" t="s">
        <v>244</v>
      </c>
      <c r="B39" s="598">
        <v>0</v>
      </c>
      <c r="C39" s="448"/>
      <c r="D39" s="604" t="s">
        <v>245</v>
      </c>
      <c r="E39" s="605"/>
      <c r="F39" s="604" t="s">
        <v>246</v>
      </c>
      <c r="G39" s="489"/>
      <c r="H39" s="616"/>
      <c r="I39" s="490"/>
      <c r="J39" s="491"/>
      <c r="K39" s="487"/>
      <c r="L39" s="448"/>
      <c r="M39" s="453"/>
      <c r="N39" s="453"/>
      <c r="O39" s="453"/>
    </row>
    <row r="40" spans="1:15" ht="17.25" customHeight="1">
      <c r="A40" s="1042"/>
      <c r="B40" s="598">
        <v>0</v>
      </c>
      <c r="C40" s="448"/>
      <c r="D40" s="606">
        <f>D35*$B$39</f>
        <v>0</v>
      </c>
      <c r="E40" s="607"/>
      <c r="F40" s="608">
        <f>D35*$B$40</f>
        <v>0</v>
      </c>
      <c r="G40" s="492"/>
      <c r="H40" s="617" t="b">
        <v>1</v>
      </c>
      <c r="I40" s="450"/>
      <c r="J40" s="502" t="s">
        <v>326</v>
      </c>
      <c r="K40" s="582">
        <f ca="1">$D$10-$N$9</f>
        <v>7</v>
      </c>
      <c r="L40" s="448"/>
      <c r="M40" s="453"/>
      <c r="N40" s="453"/>
      <c r="O40" s="453"/>
    </row>
    <row r="41" spans="1:15" ht="17.25" customHeight="1">
      <c r="A41" s="449"/>
      <c r="B41" s="478"/>
      <c r="C41" s="448"/>
      <c r="D41" s="609"/>
      <c r="E41" s="607"/>
      <c r="F41" s="610"/>
      <c r="G41" s="492"/>
      <c r="H41" s="581"/>
      <c r="I41" s="450"/>
      <c r="J41" s="493"/>
      <c r="K41" s="603"/>
      <c r="L41" s="448"/>
      <c r="M41" s="453"/>
      <c r="N41" s="453"/>
      <c r="O41" s="453"/>
    </row>
    <row r="42" spans="1:15" ht="17.25" customHeight="1">
      <c r="A42" s="460" t="s">
        <v>313</v>
      </c>
      <c r="B42" s="359"/>
      <c r="C42" s="359"/>
      <c r="D42" s="587"/>
      <c r="E42" s="587"/>
      <c r="F42" s="587"/>
      <c r="G42" s="359"/>
      <c r="H42" s="587"/>
      <c r="I42" s="359"/>
      <c r="J42" s="359"/>
      <c r="K42" s="619" t="str">
        <f>IF(SUM(Adjustments!$D$5:$D$65)&gt;0,"[See Manual Adjustments Page]","")</f>
        <v/>
      </c>
      <c r="L42" s="494"/>
      <c r="M42" s="495"/>
      <c r="N42" s="453"/>
      <c r="O42" s="453"/>
    </row>
    <row r="43" spans="1:15" ht="17.25" customHeight="1">
      <c r="A43" s="449"/>
      <c r="B43" s="478"/>
      <c r="C43" s="448"/>
      <c r="D43" s="609"/>
      <c r="E43" s="607"/>
      <c r="F43" s="610"/>
      <c r="G43" s="492"/>
      <c r="H43" s="599"/>
      <c r="I43" s="463"/>
      <c r="J43" s="493"/>
      <c r="K43" s="603"/>
      <c r="L43" s="448"/>
      <c r="M43" s="453"/>
      <c r="N43" s="453"/>
      <c r="O43" s="453"/>
    </row>
    <row r="44" spans="1:15" ht="17.25" customHeight="1">
      <c r="A44" s="1037" t="s">
        <v>238</v>
      </c>
      <c r="B44" s="1037"/>
      <c r="C44" s="448"/>
      <c r="D44" s="611" t="b">
        <v>1</v>
      </c>
      <c r="E44" s="588"/>
      <c r="F44" s="585"/>
      <c r="G44" s="448"/>
      <c r="H44" s="589" t="s">
        <v>308</v>
      </c>
      <c r="I44" s="453"/>
      <c r="J44" s="504" t="s">
        <v>324</v>
      </c>
      <c r="K44" s="620" t="b">
        <v>0</v>
      </c>
      <c r="L44" s="448"/>
      <c r="M44" s="453"/>
      <c r="N44" s="453"/>
      <c r="O44" s="453"/>
    </row>
    <row r="45" spans="1:15" ht="17.25" customHeight="1">
      <c r="A45" s="1037" t="s">
        <v>259</v>
      </c>
      <c r="B45" s="1037"/>
      <c r="C45" s="448"/>
      <c r="D45" s="590">
        <v>0</v>
      </c>
      <c r="E45" s="588"/>
      <c r="F45" s="582">
        <f>$D$10</f>
        <v>67</v>
      </c>
      <c r="G45" s="451"/>
      <c r="H45" s="618" t="b">
        <v>1</v>
      </c>
      <c r="I45" s="450"/>
      <c r="J45" s="503" t="s">
        <v>325</v>
      </c>
      <c r="K45" s="611" t="b">
        <v>0</v>
      </c>
      <c r="L45" s="448"/>
      <c r="M45" s="453"/>
      <c r="N45" s="453"/>
      <c r="O45" s="453"/>
    </row>
    <row r="46" spans="1:15" ht="17.25" customHeight="1">
      <c r="A46" s="449"/>
      <c r="B46" s="449"/>
      <c r="C46" s="448"/>
      <c r="D46" s="450"/>
      <c r="E46" s="461"/>
      <c r="F46" s="451"/>
      <c r="G46" s="451"/>
      <c r="H46" s="450"/>
      <c r="I46" s="450"/>
      <c r="J46" s="496"/>
      <c r="K46" s="450"/>
      <c r="L46" s="448"/>
      <c r="M46" s="453"/>
      <c r="N46" s="453"/>
      <c r="O46" s="453"/>
    </row>
    <row r="47" spans="1:15" ht="17.25" customHeight="1">
      <c r="A47" s="828" t="s">
        <v>514</v>
      </c>
      <c r="B47" s="827"/>
      <c r="C47" s="827"/>
      <c r="D47" s="827"/>
      <c r="E47" s="827"/>
      <c r="F47" s="827"/>
      <c r="G47" s="827"/>
      <c r="H47" s="827"/>
      <c r="I47" s="827"/>
      <c r="J47" s="827"/>
      <c r="K47" s="448"/>
      <c r="L47" s="453"/>
      <c r="M47" s="453"/>
      <c r="N47" s="453"/>
      <c r="O47" s="453"/>
    </row>
    <row r="48" spans="1:15" ht="15" customHeight="1">
      <c r="A48" s="1033" t="s">
        <v>492</v>
      </c>
      <c r="B48" s="1033"/>
      <c r="C48" s="1033"/>
      <c r="D48" s="1033"/>
      <c r="E48" s="1033"/>
      <c r="F48" s="1033"/>
      <c r="G48" s="1033"/>
      <c r="H48" s="1033"/>
      <c r="I48" s="827"/>
      <c r="J48" s="827"/>
      <c r="K48" s="448"/>
      <c r="L48" s="453"/>
      <c r="M48" s="453"/>
      <c r="N48" s="453"/>
      <c r="O48" s="453"/>
    </row>
    <row r="49" spans="1:15" ht="17.25" customHeight="1">
      <c r="A49" s="1033"/>
      <c r="B49" s="1033"/>
      <c r="C49" s="1033"/>
      <c r="D49" s="1033"/>
      <c r="E49" s="1033"/>
      <c r="F49" s="1033"/>
      <c r="G49" s="1033"/>
      <c r="H49" s="1033"/>
      <c r="I49" s="827"/>
      <c r="J49" s="827"/>
      <c r="M49" s="255"/>
      <c r="N49" s="255"/>
      <c r="O49" s="255"/>
    </row>
    <row r="50" spans="1:15" ht="12.75" customHeight="1">
      <c r="A50" s="1033"/>
      <c r="B50" s="1033"/>
      <c r="C50" s="1033"/>
      <c r="D50" s="1033"/>
      <c r="E50" s="1033"/>
      <c r="F50" s="1033"/>
      <c r="G50" s="1033"/>
      <c r="H50" s="1033"/>
      <c r="M50" s="255"/>
      <c r="N50" s="353"/>
      <c r="O50" s="353"/>
    </row>
    <row r="51" spans="1:15" ht="15" customHeight="1">
      <c r="A51" s="826"/>
      <c r="M51" s="255"/>
      <c r="N51" s="353"/>
      <c r="O51" s="353"/>
    </row>
    <row r="52" spans="1:15" ht="15" customHeight="1">
      <c r="A52" s="826"/>
    </row>
    <row r="53" spans="1:15" ht="15" customHeight="1">
      <c r="A53" s="826"/>
    </row>
    <row r="54" spans="1:15" ht="15" customHeight="1">
      <c r="A54" s="349"/>
      <c r="B54" s="349"/>
      <c r="C54" s="194"/>
      <c r="D54" s="224"/>
      <c r="E54" s="121"/>
      <c r="F54" s="305"/>
      <c r="G54" s="305"/>
      <c r="H54" s="196"/>
    </row>
    <row r="55" spans="1:15" ht="15" customHeight="1">
      <c r="A55" s="826"/>
      <c r="H55" s="269"/>
    </row>
    <row r="56" spans="1:15" ht="15" customHeight="1">
      <c r="A56" s="826"/>
      <c r="G56" s="305"/>
      <c r="H56" s="196"/>
    </row>
    <row r="57" spans="1:15" ht="15" customHeight="1">
      <c r="G57" s="268"/>
    </row>
    <row r="58" spans="1:15" ht="15" customHeight="1">
      <c r="G58" s="228"/>
      <c r="M58" s="354"/>
    </row>
    <row r="59" spans="1:15" ht="15" customHeight="1"/>
    <row r="60" spans="1:15" ht="15" customHeight="1"/>
    <row r="61" spans="1:15" ht="15" customHeight="1">
      <c r="G61" s="350"/>
      <c r="H61" s="355"/>
    </row>
    <row r="62" spans="1:15" ht="15" customHeight="1"/>
    <row r="63" spans="1:15" ht="15.75" customHeight="1"/>
    <row r="64" spans="1:15" ht="12" customHeight="1"/>
    <row r="65" ht="15" customHeight="1"/>
    <row r="66" ht="15" customHeight="1"/>
    <row r="67" ht="5.25" customHeight="1"/>
    <row r="68" ht="13.5" customHeight="1"/>
    <row r="69" ht="13.5" customHeight="1"/>
    <row r="70" ht="13.5" customHeight="1"/>
    <row r="71" ht="13.5" customHeight="1"/>
    <row r="72" ht="15" customHeight="1"/>
    <row r="73" ht="15" customHeight="1"/>
    <row r="74" ht="15" customHeight="1"/>
    <row r="75" ht="15" customHeight="1"/>
    <row r="76" ht="15" customHeight="1"/>
    <row r="77" ht="15" customHeight="1"/>
    <row r="78" ht="15" customHeight="1"/>
    <row r="79" ht="15" customHeight="1"/>
    <row r="80" ht="12" customHeight="1"/>
    <row r="81" spans="1:11" ht="12" customHeight="1"/>
    <row r="82" spans="1:11" ht="12" customHeight="1">
      <c r="A82" s="255"/>
      <c r="B82" s="255"/>
      <c r="C82" s="255"/>
      <c r="D82" s="255"/>
      <c r="E82" s="255"/>
      <c r="F82" s="255"/>
    </row>
    <row r="83" spans="1:11" ht="12" customHeight="1"/>
    <row r="84" spans="1:11" ht="12" customHeight="1"/>
    <row r="85" spans="1:11" ht="12" customHeight="1">
      <c r="A85" s="255"/>
      <c r="B85" s="255"/>
      <c r="C85" s="255"/>
      <c r="D85" s="255"/>
      <c r="E85" s="255"/>
      <c r="F85" s="255"/>
    </row>
    <row r="86" spans="1:11" ht="12" customHeight="1"/>
    <row r="87" spans="1:11" ht="12" customHeight="1"/>
    <row r="88" spans="1:11" ht="12" customHeight="1"/>
    <row r="89" spans="1:11" ht="12" customHeight="1"/>
    <row r="90" spans="1:11" ht="12" customHeight="1"/>
    <row r="91" spans="1:11" ht="12" customHeight="1">
      <c r="G91" s="255"/>
      <c r="H91" s="255"/>
      <c r="I91" s="255"/>
      <c r="J91" s="255"/>
      <c r="K91" s="255"/>
    </row>
    <row r="92" spans="1:11" s="255" customFormat="1" ht="12" customHeight="1">
      <c r="A92" s="128"/>
      <c r="B92" s="128"/>
      <c r="C92" s="128"/>
      <c r="D92" s="128"/>
      <c r="E92" s="128"/>
      <c r="F92" s="128"/>
      <c r="G92" s="128"/>
      <c r="H92" s="128"/>
      <c r="I92" s="128"/>
      <c r="J92" s="128"/>
      <c r="K92" s="128"/>
    </row>
    <row r="93" spans="1:11" ht="12" customHeight="1"/>
    <row r="94" spans="1:11" ht="12" customHeight="1">
      <c r="G94" s="255"/>
      <c r="H94" s="255"/>
      <c r="I94" s="255"/>
      <c r="J94" s="255"/>
      <c r="K94" s="255"/>
    </row>
    <row r="95" spans="1:11" s="255" customFormat="1" ht="12" customHeight="1">
      <c r="A95" s="128"/>
      <c r="B95" s="128"/>
      <c r="C95" s="128"/>
      <c r="D95" s="128"/>
      <c r="E95" s="128"/>
      <c r="F95" s="128"/>
      <c r="G95" s="128"/>
      <c r="H95" s="128"/>
      <c r="I95" s="128"/>
      <c r="J95" s="128"/>
      <c r="K95" s="128"/>
    </row>
    <row r="96" spans="1:11" ht="12" customHeight="1"/>
    <row r="97" ht="12" customHeight="1"/>
    <row r="98" ht="12" customHeight="1"/>
    <row r="99" ht="12" customHeight="1"/>
    <row r="100" ht="12" customHeight="1"/>
    <row r="101" ht="12" customHeight="1"/>
    <row r="102" ht="12" customHeight="1"/>
  </sheetData>
  <sheetProtection password="9227" sheet="1" objects="1" scenarios="1" selectLockedCells="1"/>
  <mergeCells count="23">
    <mergeCell ref="D1:L1"/>
    <mergeCell ref="B1:C1"/>
    <mergeCell ref="N3:O3"/>
    <mergeCell ref="A37:B37"/>
    <mergeCell ref="A39:A40"/>
    <mergeCell ref="H10:H11"/>
    <mergeCell ref="F10:F11"/>
    <mergeCell ref="A35:B35"/>
    <mergeCell ref="A36:B36"/>
    <mergeCell ref="A26:B26"/>
    <mergeCell ref="A9:B9"/>
    <mergeCell ref="A10:B10"/>
    <mergeCell ref="A11:B11"/>
    <mergeCell ref="A3:K3"/>
    <mergeCell ref="N6:O6"/>
    <mergeCell ref="N4:O4"/>
    <mergeCell ref="A48:H50"/>
    <mergeCell ref="J9:K9"/>
    <mergeCell ref="A21:B21"/>
    <mergeCell ref="A44:B44"/>
    <mergeCell ref="A45:B45"/>
    <mergeCell ref="A18:B18"/>
    <mergeCell ref="A20:B20"/>
  </mergeCells>
  <printOptions horizontalCentered="1"/>
  <pageMargins left="0.5" right="0.4" top="0.75" bottom="0.25" header="0.3" footer="0.3"/>
  <pageSetup scale="78" orientation="portrait" horizontalDpi="1200" verticalDpi="1200" r:id="rId1"/>
  <ignoredErrors>
    <ignoredError sqref="F37 D40 F40 F45 K35:K36 K40 D31 F12 N9:O9" unlockedFormula="1"/>
  </ignoredErrors>
  <drawing r:id="rId2"/>
  <legacyDrawing r:id="rId3"/>
</worksheet>
</file>

<file path=xl/worksheets/sheet5.xml><?xml version="1.0" encoding="utf-8"?>
<worksheet xmlns="http://schemas.openxmlformats.org/spreadsheetml/2006/main" xmlns:r="http://schemas.openxmlformats.org/officeDocument/2006/relationships">
  <sheetPr>
    <pageSetUpPr fitToPage="1"/>
  </sheetPr>
  <dimension ref="A1:J199"/>
  <sheetViews>
    <sheetView showGridLines="0" showRowColHeaders="0" showRuler="0" zoomScaleNormal="100" workbookViewId="0">
      <selection activeCell="C5" sqref="C5"/>
    </sheetView>
  </sheetViews>
  <sheetFormatPr defaultRowHeight="15"/>
  <cols>
    <col min="1" max="1" width="3" customWidth="1"/>
    <col min="2" max="2" width="5.5" customWidth="1"/>
    <col min="3" max="6" width="11.125" customWidth="1"/>
    <col min="7" max="10" width="16" customWidth="1"/>
    <col min="11" max="11" width="1.875" customWidth="1"/>
  </cols>
  <sheetData>
    <row r="1" spans="1:10" ht="30.75" customHeight="1">
      <c r="A1" s="1059"/>
      <c r="B1" s="1060"/>
      <c r="C1" s="1057" t="s">
        <v>476</v>
      </c>
      <c r="D1" s="1058"/>
      <c r="E1" s="1059" t="s">
        <v>475</v>
      </c>
      <c r="F1" s="1061"/>
      <c r="G1" s="1061"/>
      <c r="H1" s="1061"/>
      <c r="I1" s="1061"/>
      <c r="J1" s="1061"/>
    </row>
    <row r="2" spans="1:10" ht="21" customHeight="1">
      <c r="A2" s="1056" t="s">
        <v>375</v>
      </c>
      <c r="B2" s="1056"/>
      <c r="C2" s="1056"/>
      <c r="D2" s="1056"/>
      <c r="E2" s="1056"/>
      <c r="F2" s="1056"/>
      <c r="G2" s="1056"/>
      <c r="H2" s="1056"/>
      <c r="I2" s="1056"/>
      <c r="J2" s="1056"/>
    </row>
    <row r="3" spans="1:10" ht="13.5" customHeight="1">
      <c r="A3" s="1062" t="s">
        <v>315</v>
      </c>
      <c r="B3" s="1062" t="s">
        <v>285</v>
      </c>
      <c r="C3" s="1062" t="s">
        <v>281</v>
      </c>
      <c r="D3" s="1062" t="s">
        <v>272</v>
      </c>
      <c r="E3" s="1062" t="s">
        <v>232</v>
      </c>
      <c r="F3" s="1062" t="s">
        <v>229</v>
      </c>
      <c r="G3" s="1054" t="s">
        <v>286</v>
      </c>
      <c r="H3" s="1054"/>
      <c r="I3" s="1054"/>
      <c r="J3" s="1054"/>
    </row>
    <row r="4" spans="1:10" ht="12.75" customHeight="1">
      <c r="A4" s="1063"/>
      <c r="B4" s="1063"/>
      <c r="C4" s="1063"/>
      <c r="D4" s="1063"/>
      <c r="E4" s="1063"/>
      <c r="F4" s="1063"/>
      <c r="G4" s="1055"/>
      <c r="H4" s="1055"/>
      <c r="I4" s="1055"/>
      <c r="J4" s="1055"/>
    </row>
    <row r="5" spans="1:10" ht="13.5" customHeight="1">
      <c r="A5" s="185">
        <v>0</v>
      </c>
      <c r="B5" s="186" t="str">
        <f ca="1">Projections!B5</f>
        <v>60/60</v>
      </c>
      <c r="C5" s="169"/>
      <c r="D5" s="166"/>
      <c r="E5" s="166"/>
      <c r="F5" s="166"/>
      <c r="G5" s="1066"/>
      <c r="H5" s="1067"/>
      <c r="I5" s="1067"/>
      <c r="J5" s="1068"/>
    </row>
    <row r="6" spans="1:10" ht="13.5" customHeight="1">
      <c r="A6" s="184">
        <v>1</v>
      </c>
      <c r="B6" s="172" t="str">
        <f ca="1">Projections!B6</f>
        <v>61/61</v>
      </c>
      <c r="C6" s="170"/>
      <c r="D6" s="167"/>
      <c r="E6" s="167"/>
      <c r="F6" s="167"/>
      <c r="G6" s="1051"/>
      <c r="H6" s="1052"/>
      <c r="I6" s="1052"/>
      <c r="J6" s="1053"/>
    </row>
    <row r="7" spans="1:10" ht="13.5" customHeight="1">
      <c r="A7" s="184">
        <f t="shared" ref="A7:A38" si="0">+A6+1</f>
        <v>2</v>
      </c>
      <c r="B7" s="172" t="str">
        <f ca="1">Projections!B7</f>
        <v>62/62</v>
      </c>
      <c r="C7" s="169"/>
      <c r="D7" s="168"/>
      <c r="E7" s="168"/>
      <c r="F7" s="168"/>
      <c r="G7" s="1051"/>
      <c r="H7" s="1052"/>
      <c r="I7" s="1052"/>
      <c r="J7" s="1053"/>
    </row>
    <row r="8" spans="1:10" ht="13.5" customHeight="1">
      <c r="A8" s="184">
        <f t="shared" si="0"/>
        <v>3</v>
      </c>
      <c r="B8" s="172" t="str">
        <f ca="1">Projections!B8</f>
        <v>63/63</v>
      </c>
      <c r="C8" s="169"/>
      <c r="D8" s="168"/>
      <c r="E8" s="168"/>
      <c r="F8" s="168"/>
      <c r="G8" s="1051"/>
      <c r="H8" s="1052"/>
      <c r="I8" s="1052"/>
      <c r="J8" s="1053"/>
    </row>
    <row r="9" spans="1:10" ht="13.5" customHeight="1">
      <c r="A9" s="184">
        <f t="shared" si="0"/>
        <v>4</v>
      </c>
      <c r="B9" s="172" t="str">
        <f ca="1">Projections!B9</f>
        <v>64/64</v>
      </c>
      <c r="C9" s="169"/>
      <c r="D9" s="168"/>
      <c r="E9" s="168"/>
      <c r="F9" s="168"/>
      <c r="G9" s="1051"/>
      <c r="H9" s="1052"/>
      <c r="I9" s="1052"/>
      <c r="J9" s="1053"/>
    </row>
    <row r="10" spans="1:10" ht="13.5" customHeight="1">
      <c r="A10" s="184">
        <f t="shared" si="0"/>
        <v>5</v>
      </c>
      <c r="B10" s="172" t="str">
        <f ca="1">Projections!B10</f>
        <v>65/65</v>
      </c>
      <c r="C10" s="171"/>
      <c r="D10" s="168"/>
      <c r="E10" s="168"/>
      <c r="F10" s="168"/>
      <c r="G10" s="1051"/>
      <c r="H10" s="1052"/>
      <c r="I10" s="1052"/>
      <c r="J10" s="1053"/>
    </row>
    <row r="11" spans="1:10" ht="13.5" customHeight="1">
      <c r="A11" s="184">
        <f t="shared" si="0"/>
        <v>6</v>
      </c>
      <c r="B11" s="172" t="str">
        <f ca="1">Projections!B11</f>
        <v>66/66</v>
      </c>
      <c r="C11" s="171"/>
      <c r="D11" s="168"/>
      <c r="E11" s="168"/>
      <c r="F11" s="168"/>
      <c r="G11" s="1051"/>
      <c r="H11" s="1052"/>
      <c r="I11" s="1052"/>
      <c r="J11" s="1053"/>
    </row>
    <row r="12" spans="1:10" ht="13.5" customHeight="1">
      <c r="A12" s="184">
        <f t="shared" si="0"/>
        <v>7</v>
      </c>
      <c r="B12" s="172" t="str">
        <f ca="1">Projections!B12</f>
        <v>67/67</v>
      </c>
      <c r="C12" s="171"/>
      <c r="D12" s="168"/>
      <c r="E12" s="168"/>
      <c r="F12" s="168"/>
      <c r="G12" s="1051"/>
      <c r="H12" s="1052"/>
      <c r="I12" s="1052"/>
      <c r="J12" s="1053"/>
    </row>
    <row r="13" spans="1:10" ht="13.5" customHeight="1">
      <c r="A13" s="184">
        <f t="shared" si="0"/>
        <v>8</v>
      </c>
      <c r="B13" s="172" t="str">
        <f ca="1">Projections!B13</f>
        <v>68/68</v>
      </c>
      <c r="C13" s="171"/>
      <c r="D13" s="168"/>
      <c r="E13" s="168"/>
      <c r="F13" s="168"/>
      <c r="G13" s="1051"/>
      <c r="H13" s="1052"/>
      <c r="I13" s="1052"/>
      <c r="J13" s="1053"/>
    </row>
    <row r="14" spans="1:10" ht="13.5" customHeight="1">
      <c r="A14" s="184">
        <f t="shared" si="0"/>
        <v>9</v>
      </c>
      <c r="B14" s="172" t="str">
        <f ca="1">Projections!B14</f>
        <v>69/69</v>
      </c>
      <c r="C14" s="171"/>
      <c r="D14" s="168"/>
      <c r="E14" s="168"/>
      <c r="F14" s="168"/>
      <c r="G14" s="1051"/>
      <c r="H14" s="1052"/>
      <c r="I14" s="1052"/>
      <c r="J14" s="1053"/>
    </row>
    <row r="15" spans="1:10" ht="13.5" customHeight="1">
      <c r="A15" s="184">
        <f t="shared" si="0"/>
        <v>10</v>
      </c>
      <c r="B15" s="172" t="str">
        <f ca="1">Projections!B15</f>
        <v>70/70</v>
      </c>
      <c r="C15" s="171"/>
      <c r="D15" s="168"/>
      <c r="E15" s="168"/>
      <c r="F15" s="168"/>
      <c r="G15" s="1051"/>
      <c r="H15" s="1052"/>
      <c r="I15" s="1052"/>
      <c r="J15" s="1053"/>
    </row>
    <row r="16" spans="1:10" ht="13.5" customHeight="1">
      <c r="A16" s="184">
        <f t="shared" si="0"/>
        <v>11</v>
      </c>
      <c r="B16" s="172" t="str">
        <f ca="1">Projections!B16</f>
        <v>71/71</v>
      </c>
      <c r="C16" s="171"/>
      <c r="D16" s="168"/>
      <c r="E16" s="168"/>
      <c r="F16" s="168"/>
      <c r="G16" s="1051"/>
      <c r="H16" s="1052"/>
      <c r="I16" s="1052"/>
      <c r="J16" s="1053"/>
    </row>
    <row r="17" spans="1:10" ht="13.5" customHeight="1">
      <c r="A17" s="184">
        <f t="shared" si="0"/>
        <v>12</v>
      </c>
      <c r="B17" s="172" t="str">
        <f ca="1">Projections!B17</f>
        <v>72/72</v>
      </c>
      <c r="C17" s="171"/>
      <c r="D17" s="168"/>
      <c r="E17" s="168"/>
      <c r="F17" s="168"/>
      <c r="G17" s="1051"/>
      <c r="H17" s="1052"/>
      <c r="I17" s="1052"/>
      <c r="J17" s="1053"/>
    </row>
    <row r="18" spans="1:10" ht="13.5" customHeight="1">
      <c r="A18" s="184">
        <f t="shared" si="0"/>
        <v>13</v>
      </c>
      <c r="B18" s="172" t="str">
        <f ca="1">Projections!B18</f>
        <v>73/73</v>
      </c>
      <c r="C18" s="171"/>
      <c r="D18" s="168"/>
      <c r="E18" s="168"/>
      <c r="F18" s="168"/>
      <c r="G18" s="1051"/>
      <c r="H18" s="1052"/>
      <c r="I18" s="1052"/>
      <c r="J18" s="1053"/>
    </row>
    <row r="19" spans="1:10" ht="13.5" customHeight="1">
      <c r="A19" s="184">
        <f t="shared" si="0"/>
        <v>14</v>
      </c>
      <c r="B19" s="172" t="str">
        <f ca="1">Projections!B19</f>
        <v>74/74</v>
      </c>
      <c r="C19" s="171"/>
      <c r="D19" s="168"/>
      <c r="E19" s="168"/>
      <c r="F19" s="168"/>
      <c r="G19" s="1051"/>
      <c r="H19" s="1052"/>
      <c r="I19" s="1052"/>
      <c r="J19" s="1053"/>
    </row>
    <row r="20" spans="1:10" ht="13.5" customHeight="1">
      <c r="A20" s="184">
        <f t="shared" si="0"/>
        <v>15</v>
      </c>
      <c r="B20" s="172" t="str">
        <f ca="1">Projections!B20</f>
        <v>75/75</v>
      </c>
      <c r="C20" s="171"/>
      <c r="D20" s="168"/>
      <c r="E20" s="168"/>
      <c r="F20" s="168"/>
      <c r="G20" s="1051"/>
      <c r="H20" s="1052"/>
      <c r="I20" s="1052"/>
      <c r="J20" s="1053"/>
    </row>
    <row r="21" spans="1:10" ht="13.5" customHeight="1">
      <c r="A21" s="184">
        <f t="shared" si="0"/>
        <v>16</v>
      </c>
      <c r="B21" s="172" t="str">
        <f ca="1">Projections!B21</f>
        <v>76/76</v>
      </c>
      <c r="C21" s="171"/>
      <c r="D21" s="168"/>
      <c r="E21" s="168"/>
      <c r="F21" s="168"/>
      <c r="G21" s="1051"/>
      <c r="H21" s="1052"/>
      <c r="I21" s="1052"/>
      <c r="J21" s="1053"/>
    </row>
    <row r="22" spans="1:10" ht="13.5" customHeight="1">
      <c r="A22" s="184">
        <f t="shared" si="0"/>
        <v>17</v>
      </c>
      <c r="B22" s="172" t="str">
        <f ca="1">Projections!B22</f>
        <v>77/77</v>
      </c>
      <c r="C22" s="171"/>
      <c r="D22" s="168"/>
      <c r="E22" s="168"/>
      <c r="F22" s="168"/>
      <c r="G22" s="1051"/>
      <c r="H22" s="1052"/>
      <c r="I22" s="1052"/>
      <c r="J22" s="1053"/>
    </row>
    <row r="23" spans="1:10" ht="13.5" customHeight="1">
      <c r="A23" s="184">
        <f t="shared" si="0"/>
        <v>18</v>
      </c>
      <c r="B23" s="172" t="str">
        <f ca="1">Projections!B23</f>
        <v>78/78</v>
      </c>
      <c r="C23" s="171"/>
      <c r="D23" s="168"/>
      <c r="E23" s="168"/>
      <c r="F23" s="168"/>
      <c r="G23" s="1051"/>
      <c r="H23" s="1052"/>
      <c r="I23" s="1052"/>
      <c r="J23" s="1053"/>
    </row>
    <row r="24" spans="1:10" ht="13.5" customHeight="1">
      <c r="A24" s="184">
        <f t="shared" si="0"/>
        <v>19</v>
      </c>
      <c r="B24" s="172" t="str">
        <f ca="1">Projections!B24</f>
        <v>79/79</v>
      </c>
      <c r="C24" s="171"/>
      <c r="D24" s="168"/>
      <c r="E24" s="168"/>
      <c r="F24" s="168"/>
      <c r="G24" s="1051"/>
      <c r="H24" s="1052"/>
      <c r="I24" s="1052"/>
      <c r="J24" s="1053"/>
    </row>
    <row r="25" spans="1:10" ht="13.5" customHeight="1">
      <c r="A25" s="184">
        <f t="shared" si="0"/>
        <v>20</v>
      </c>
      <c r="B25" s="172" t="str">
        <f ca="1">Projections!B25</f>
        <v>80/80</v>
      </c>
      <c r="C25" s="171"/>
      <c r="D25" s="168"/>
      <c r="E25" s="168"/>
      <c r="F25" s="168"/>
      <c r="G25" s="1051"/>
      <c r="H25" s="1052"/>
      <c r="I25" s="1052"/>
      <c r="J25" s="1053"/>
    </row>
    <row r="26" spans="1:10" ht="13.5" customHeight="1">
      <c r="A26" s="184">
        <f t="shared" si="0"/>
        <v>21</v>
      </c>
      <c r="B26" s="172" t="str">
        <f ca="1">Projections!B26</f>
        <v>81/81</v>
      </c>
      <c r="C26" s="171"/>
      <c r="D26" s="168"/>
      <c r="E26" s="168"/>
      <c r="F26" s="168"/>
      <c r="G26" s="1051"/>
      <c r="H26" s="1052"/>
      <c r="I26" s="1052"/>
      <c r="J26" s="1053"/>
    </row>
    <row r="27" spans="1:10" ht="13.5" customHeight="1">
      <c r="A27" s="184">
        <f t="shared" si="0"/>
        <v>22</v>
      </c>
      <c r="B27" s="172" t="str">
        <f ca="1">Projections!B27</f>
        <v>82/82</v>
      </c>
      <c r="C27" s="171"/>
      <c r="D27" s="168"/>
      <c r="E27" s="168"/>
      <c r="F27" s="168"/>
      <c r="G27" s="1051"/>
      <c r="H27" s="1052"/>
      <c r="I27" s="1052"/>
      <c r="J27" s="1053"/>
    </row>
    <row r="28" spans="1:10" ht="13.5" customHeight="1">
      <c r="A28" s="184">
        <f t="shared" si="0"/>
        <v>23</v>
      </c>
      <c r="B28" s="172" t="str">
        <f ca="1">Projections!B28</f>
        <v>83/83</v>
      </c>
      <c r="C28" s="171"/>
      <c r="D28" s="168"/>
      <c r="E28" s="168"/>
      <c r="F28" s="168"/>
      <c r="G28" s="1051"/>
      <c r="H28" s="1052"/>
      <c r="I28" s="1052"/>
      <c r="J28" s="1053"/>
    </row>
    <row r="29" spans="1:10" ht="13.5" customHeight="1">
      <c r="A29" s="184">
        <f t="shared" si="0"/>
        <v>24</v>
      </c>
      <c r="B29" s="172" t="str">
        <f ca="1">Projections!B29</f>
        <v>84/84</v>
      </c>
      <c r="C29" s="171"/>
      <c r="D29" s="168"/>
      <c r="E29" s="168"/>
      <c r="F29" s="168"/>
      <c r="G29" s="1051"/>
      <c r="H29" s="1052"/>
      <c r="I29" s="1052"/>
      <c r="J29" s="1053"/>
    </row>
    <row r="30" spans="1:10" ht="13.5" customHeight="1">
      <c r="A30" s="184">
        <f t="shared" si="0"/>
        <v>25</v>
      </c>
      <c r="B30" s="172" t="str">
        <f ca="1">Projections!B30</f>
        <v>85/85</v>
      </c>
      <c r="C30" s="171"/>
      <c r="D30" s="168"/>
      <c r="E30" s="168"/>
      <c r="F30" s="168"/>
      <c r="G30" s="1051"/>
      <c r="H30" s="1052"/>
      <c r="I30" s="1052"/>
      <c r="J30" s="1053"/>
    </row>
    <row r="31" spans="1:10" ht="13.5" customHeight="1">
      <c r="A31" s="184">
        <f t="shared" si="0"/>
        <v>26</v>
      </c>
      <c r="B31" s="172" t="str">
        <f ca="1">Projections!B31</f>
        <v>86/86</v>
      </c>
      <c r="C31" s="171"/>
      <c r="D31" s="168"/>
      <c r="E31" s="168"/>
      <c r="F31" s="168"/>
      <c r="G31" s="1051"/>
      <c r="H31" s="1052"/>
      <c r="I31" s="1052"/>
      <c r="J31" s="1053"/>
    </row>
    <row r="32" spans="1:10" ht="13.5" customHeight="1">
      <c r="A32" s="184">
        <f t="shared" si="0"/>
        <v>27</v>
      </c>
      <c r="B32" s="172" t="str">
        <f ca="1">Projections!B32</f>
        <v>87/87</v>
      </c>
      <c r="C32" s="171"/>
      <c r="D32" s="168"/>
      <c r="E32" s="168"/>
      <c r="F32" s="168"/>
      <c r="G32" s="1051"/>
      <c r="H32" s="1052"/>
      <c r="I32" s="1052"/>
      <c r="J32" s="1053"/>
    </row>
    <row r="33" spans="1:10" ht="13.5" customHeight="1">
      <c r="A33" s="184">
        <f t="shared" si="0"/>
        <v>28</v>
      </c>
      <c r="B33" s="172" t="str">
        <f ca="1">Projections!B33</f>
        <v>88/88</v>
      </c>
      <c r="C33" s="171"/>
      <c r="D33" s="168"/>
      <c r="E33" s="168"/>
      <c r="F33" s="168"/>
      <c r="G33" s="1051"/>
      <c r="H33" s="1052"/>
      <c r="I33" s="1052"/>
      <c r="J33" s="1053"/>
    </row>
    <row r="34" spans="1:10" ht="13.5" customHeight="1">
      <c r="A34" s="184">
        <f t="shared" si="0"/>
        <v>29</v>
      </c>
      <c r="B34" s="172" t="str">
        <f ca="1">Projections!B34</f>
        <v>89/89</v>
      </c>
      <c r="C34" s="171"/>
      <c r="D34" s="168"/>
      <c r="E34" s="168"/>
      <c r="F34" s="168"/>
      <c r="G34" s="1051"/>
      <c r="H34" s="1052"/>
      <c r="I34" s="1052"/>
      <c r="J34" s="1053"/>
    </row>
    <row r="35" spans="1:10" ht="13.5" customHeight="1">
      <c r="A35" s="184">
        <f t="shared" si="0"/>
        <v>30</v>
      </c>
      <c r="B35" s="172" t="str">
        <f ca="1">Projections!B35</f>
        <v>90/90</v>
      </c>
      <c r="C35" s="171"/>
      <c r="D35" s="168"/>
      <c r="E35" s="168"/>
      <c r="F35" s="168"/>
      <c r="G35" s="1051"/>
      <c r="H35" s="1052"/>
      <c r="I35" s="1052"/>
      <c r="J35" s="1053"/>
    </row>
    <row r="36" spans="1:10" ht="13.5" customHeight="1">
      <c r="A36" s="184">
        <f t="shared" si="0"/>
        <v>31</v>
      </c>
      <c r="B36" s="172" t="str">
        <f ca="1">Projections!B36</f>
        <v/>
      </c>
      <c r="C36" s="171"/>
      <c r="D36" s="168"/>
      <c r="E36" s="168"/>
      <c r="F36" s="168"/>
      <c r="G36" s="1051"/>
      <c r="H36" s="1052"/>
      <c r="I36" s="1052"/>
      <c r="J36" s="1053"/>
    </row>
    <row r="37" spans="1:10" ht="13.5" customHeight="1">
      <c r="A37" s="184">
        <f t="shared" si="0"/>
        <v>32</v>
      </c>
      <c r="B37" s="172" t="str">
        <f ca="1">Projections!B37</f>
        <v/>
      </c>
      <c r="C37" s="171"/>
      <c r="D37" s="168"/>
      <c r="E37" s="168"/>
      <c r="F37" s="168"/>
      <c r="G37" s="1051"/>
      <c r="H37" s="1052"/>
      <c r="I37" s="1052"/>
      <c r="J37" s="1053"/>
    </row>
    <row r="38" spans="1:10" ht="13.5" customHeight="1">
      <c r="A38" s="184">
        <f t="shared" si="0"/>
        <v>33</v>
      </c>
      <c r="B38" s="172" t="str">
        <f ca="1">Projections!B38</f>
        <v/>
      </c>
      <c r="C38" s="171"/>
      <c r="D38" s="168"/>
      <c r="E38" s="168"/>
      <c r="F38" s="168"/>
      <c r="G38" s="1051"/>
      <c r="H38" s="1052"/>
      <c r="I38" s="1052"/>
      <c r="J38" s="1053"/>
    </row>
    <row r="39" spans="1:10" ht="13.5" customHeight="1">
      <c r="A39" s="184">
        <f t="shared" ref="A39:A65" si="1">+A38+1</f>
        <v>34</v>
      </c>
      <c r="B39" s="172" t="str">
        <f ca="1">Projections!B39</f>
        <v/>
      </c>
      <c r="C39" s="171"/>
      <c r="D39" s="168"/>
      <c r="E39" s="168"/>
      <c r="F39" s="168"/>
      <c r="G39" s="1051"/>
      <c r="H39" s="1052"/>
      <c r="I39" s="1052"/>
      <c r="J39" s="1053"/>
    </row>
    <row r="40" spans="1:10" ht="13.5" customHeight="1">
      <c r="A40" s="184">
        <f t="shared" si="1"/>
        <v>35</v>
      </c>
      <c r="B40" s="172" t="str">
        <f ca="1">Projections!B40</f>
        <v/>
      </c>
      <c r="C40" s="171"/>
      <c r="D40" s="168"/>
      <c r="E40" s="168"/>
      <c r="F40" s="168"/>
      <c r="G40" s="1051"/>
      <c r="H40" s="1052"/>
      <c r="I40" s="1052"/>
      <c r="J40" s="1053"/>
    </row>
    <row r="41" spans="1:10" ht="13.5" customHeight="1">
      <c r="A41" s="184">
        <f t="shared" si="1"/>
        <v>36</v>
      </c>
      <c r="B41" s="172" t="str">
        <f ca="1">Projections!B41</f>
        <v/>
      </c>
      <c r="C41" s="171"/>
      <c r="D41" s="168"/>
      <c r="E41" s="168"/>
      <c r="F41" s="168"/>
      <c r="G41" s="1051"/>
      <c r="H41" s="1052"/>
      <c r="I41" s="1052"/>
      <c r="J41" s="1053"/>
    </row>
    <row r="42" spans="1:10" ht="13.5" customHeight="1">
      <c r="A42" s="184">
        <f t="shared" si="1"/>
        <v>37</v>
      </c>
      <c r="B42" s="172" t="str">
        <f ca="1">Projections!B42</f>
        <v/>
      </c>
      <c r="C42" s="171"/>
      <c r="D42" s="168"/>
      <c r="E42" s="168"/>
      <c r="F42" s="168"/>
      <c r="G42" s="1051"/>
      <c r="H42" s="1052"/>
      <c r="I42" s="1052"/>
      <c r="J42" s="1053"/>
    </row>
    <row r="43" spans="1:10" ht="13.5" customHeight="1">
      <c r="A43" s="184">
        <f t="shared" si="1"/>
        <v>38</v>
      </c>
      <c r="B43" s="172" t="str">
        <f ca="1">Projections!B43</f>
        <v/>
      </c>
      <c r="C43" s="171"/>
      <c r="D43" s="168"/>
      <c r="E43" s="168"/>
      <c r="F43" s="168"/>
      <c r="G43" s="1051"/>
      <c r="H43" s="1052"/>
      <c r="I43" s="1052"/>
      <c r="J43" s="1053"/>
    </row>
    <row r="44" spans="1:10" ht="13.5" customHeight="1">
      <c r="A44" s="184">
        <f t="shared" si="1"/>
        <v>39</v>
      </c>
      <c r="B44" s="172" t="str">
        <f ca="1">Projections!B44</f>
        <v/>
      </c>
      <c r="C44" s="171"/>
      <c r="D44" s="168"/>
      <c r="E44" s="168"/>
      <c r="F44" s="168"/>
      <c r="G44" s="1051"/>
      <c r="H44" s="1052"/>
      <c r="I44" s="1052"/>
      <c r="J44" s="1053"/>
    </row>
    <row r="45" spans="1:10" ht="13.5" customHeight="1">
      <c r="A45" s="184">
        <f t="shared" si="1"/>
        <v>40</v>
      </c>
      <c r="B45" s="172" t="str">
        <f ca="1">Projections!B45</f>
        <v/>
      </c>
      <c r="C45" s="171"/>
      <c r="D45" s="168"/>
      <c r="E45" s="168"/>
      <c r="F45" s="168"/>
      <c r="G45" s="1051"/>
      <c r="H45" s="1052"/>
      <c r="I45" s="1052"/>
      <c r="J45" s="1053"/>
    </row>
    <row r="46" spans="1:10" ht="13.5" customHeight="1">
      <c r="A46" s="184">
        <f t="shared" si="1"/>
        <v>41</v>
      </c>
      <c r="B46" s="172" t="str">
        <f ca="1">Projections!B46</f>
        <v/>
      </c>
      <c r="C46" s="171"/>
      <c r="D46" s="168"/>
      <c r="E46" s="168"/>
      <c r="F46" s="168"/>
      <c r="G46" s="1051"/>
      <c r="H46" s="1052"/>
      <c r="I46" s="1052"/>
      <c r="J46" s="1053"/>
    </row>
    <row r="47" spans="1:10" ht="13.5" customHeight="1">
      <c r="A47" s="184">
        <f t="shared" si="1"/>
        <v>42</v>
      </c>
      <c r="B47" s="172" t="str">
        <f ca="1">Projections!B47</f>
        <v/>
      </c>
      <c r="C47" s="171"/>
      <c r="D47" s="168"/>
      <c r="E47" s="168"/>
      <c r="F47" s="168"/>
      <c r="G47" s="1051"/>
      <c r="H47" s="1052"/>
      <c r="I47" s="1052"/>
      <c r="J47" s="1053"/>
    </row>
    <row r="48" spans="1:10" ht="13.5" customHeight="1">
      <c r="A48" s="184">
        <f t="shared" si="1"/>
        <v>43</v>
      </c>
      <c r="B48" s="172" t="str">
        <f ca="1">Projections!B48</f>
        <v/>
      </c>
      <c r="C48" s="171"/>
      <c r="D48" s="168"/>
      <c r="E48" s="168"/>
      <c r="F48" s="168"/>
      <c r="G48" s="1051"/>
      <c r="H48" s="1052"/>
      <c r="I48" s="1052"/>
      <c r="J48" s="1053"/>
    </row>
    <row r="49" spans="1:10" ht="13.5" customHeight="1">
      <c r="A49" s="184">
        <f t="shared" si="1"/>
        <v>44</v>
      </c>
      <c r="B49" s="172" t="str">
        <f ca="1">Projections!B49</f>
        <v/>
      </c>
      <c r="C49" s="171"/>
      <c r="D49" s="168"/>
      <c r="E49" s="168"/>
      <c r="F49" s="168"/>
      <c r="G49" s="1051"/>
      <c r="H49" s="1052"/>
      <c r="I49" s="1052"/>
      <c r="J49" s="1053"/>
    </row>
    <row r="50" spans="1:10" ht="13.5" customHeight="1">
      <c r="A50" s="184">
        <f t="shared" si="1"/>
        <v>45</v>
      </c>
      <c r="B50" s="172" t="str">
        <f ca="1">Projections!B50</f>
        <v/>
      </c>
      <c r="C50" s="171"/>
      <c r="D50" s="168"/>
      <c r="E50" s="168"/>
      <c r="F50" s="168"/>
      <c r="G50" s="1051"/>
      <c r="H50" s="1052"/>
      <c r="I50" s="1052"/>
      <c r="J50" s="1053"/>
    </row>
    <row r="51" spans="1:10">
      <c r="A51" s="184">
        <f t="shared" si="1"/>
        <v>46</v>
      </c>
      <c r="B51" s="172" t="str">
        <f ca="1">Projections!B51</f>
        <v/>
      </c>
      <c r="C51" s="171"/>
      <c r="D51" s="168"/>
      <c r="E51" s="168"/>
      <c r="F51" s="168"/>
      <c r="G51" s="1051"/>
      <c r="H51" s="1052"/>
      <c r="I51" s="1052"/>
      <c r="J51" s="1053"/>
    </row>
    <row r="52" spans="1:10">
      <c r="A52" s="184">
        <f t="shared" si="1"/>
        <v>47</v>
      </c>
      <c r="B52" s="172" t="str">
        <f ca="1">Projections!B52</f>
        <v/>
      </c>
      <c r="C52" s="171"/>
      <c r="D52" s="168"/>
      <c r="E52" s="168"/>
      <c r="F52" s="168"/>
      <c r="G52" s="1051"/>
      <c r="H52" s="1052"/>
      <c r="I52" s="1052"/>
      <c r="J52" s="1053"/>
    </row>
    <row r="53" spans="1:10">
      <c r="A53" s="184">
        <f t="shared" si="1"/>
        <v>48</v>
      </c>
      <c r="B53" s="172" t="str">
        <f ca="1">Projections!B53</f>
        <v/>
      </c>
      <c r="C53" s="171"/>
      <c r="D53" s="168"/>
      <c r="E53" s="168"/>
      <c r="F53" s="168"/>
      <c r="G53" s="1051"/>
      <c r="H53" s="1052"/>
      <c r="I53" s="1052"/>
      <c r="J53" s="1053"/>
    </row>
    <row r="54" spans="1:10">
      <c r="A54" s="184">
        <f t="shared" si="1"/>
        <v>49</v>
      </c>
      <c r="B54" s="172" t="str">
        <f ca="1">Projections!B54</f>
        <v/>
      </c>
      <c r="C54" s="171"/>
      <c r="D54" s="168"/>
      <c r="E54" s="168"/>
      <c r="F54" s="168"/>
      <c r="G54" s="1051"/>
      <c r="H54" s="1052"/>
      <c r="I54" s="1052"/>
      <c r="J54" s="1053"/>
    </row>
    <row r="55" spans="1:10">
      <c r="A55" s="184">
        <f t="shared" si="1"/>
        <v>50</v>
      </c>
      <c r="B55" s="172" t="str">
        <f ca="1">Projections!B55</f>
        <v/>
      </c>
      <c r="C55" s="171"/>
      <c r="D55" s="168"/>
      <c r="E55" s="168"/>
      <c r="F55" s="168"/>
      <c r="G55" s="1051"/>
      <c r="H55" s="1052"/>
      <c r="I55" s="1052"/>
      <c r="J55" s="1053"/>
    </row>
    <row r="56" spans="1:10">
      <c r="A56" s="184">
        <f t="shared" si="1"/>
        <v>51</v>
      </c>
      <c r="B56" s="172" t="str">
        <f ca="1">Projections!B56</f>
        <v/>
      </c>
      <c r="C56" s="171"/>
      <c r="D56" s="168"/>
      <c r="E56" s="168"/>
      <c r="F56" s="168"/>
      <c r="G56" s="1051"/>
      <c r="H56" s="1052"/>
      <c r="I56" s="1052"/>
      <c r="J56" s="1053"/>
    </row>
    <row r="57" spans="1:10">
      <c r="A57" s="184">
        <f t="shared" si="1"/>
        <v>52</v>
      </c>
      <c r="B57" s="172" t="str">
        <f ca="1">Projections!B57</f>
        <v/>
      </c>
      <c r="C57" s="171"/>
      <c r="D57" s="168"/>
      <c r="E57" s="168"/>
      <c r="F57" s="168"/>
      <c r="G57" s="1051"/>
      <c r="H57" s="1052"/>
      <c r="I57" s="1052"/>
      <c r="J57" s="1053"/>
    </row>
    <row r="58" spans="1:10">
      <c r="A58" s="184">
        <f t="shared" si="1"/>
        <v>53</v>
      </c>
      <c r="B58" s="172" t="str">
        <f ca="1">Projections!B58</f>
        <v/>
      </c>
      <c r="C58" s="171"/>
      <c r="D58" s="168"/>
      <c r="E58" s="168"/>
      <c r="F58" s="168"/>
      <c r="G58" s="1051"/>
      <c r="H58" s="1052"/>
      <c r="I58" s="1052"/>
      <c r="J58" s="1053"/>
    </row>
    <row r="59" spans="1:10">
      <c r="A59" s="184">
        <f t="shared" si="1"/>
        <v>54</v>
      </c>
      <c r="B59" s="172" t="str">
        <f ca="1">Projections!B59</f>
        <v/>
      </c>
      <c r="C59" s="171"/>
      <c r="D59" s="168"/>
      <c r="E59" s="168"/>
      <c r="F59" s="168"/>
      <c r="G59" s="1051"/>
      <c r="H59" s="1052"/>
      <c r="I59" s="1052"/>
      <c r="J59" s="1053"/>
    </row>
    <row r="60" spans="1:10">
      <c r="A60" s="184">
        <f t="shared" si="1"/>
        <v>55</v>
      </c>
      <c r="B60" s="172" t="str">
        <f ca="1">Projections!B60</f>
        <v/>
      </c>
      <c r="C60" s="171"/>
      <c r="D60" s="168"/>
      <c r="E60" s="168"/>
      <c r="F60" s="168"/>
      <c r="G60" s="1051"/>
      <c r="H60" s="1052"/>
      <c r="I60" s="1052"/>
      <c r="J60" s="1053"/>
    </row>
    <row r="61" spans="1:10">
      <c r="A61" s="184">
        <f t="shared" si="1"/>
        <v>56</v>
      </c>
      <c r="B61" s="172" t="str">
        <f ca="1">Projections!B61</f>
        <v/>
      </c>
      <c r="C61" s="171"/>
      <c r="D61" s="168"/>
      <c r="E61" s="168"/>
      <c r="F61" s="168"/>
      <c r="G61" s="1051"/>
      <c r="H61" s="1052"/>
      <c r="I61" s="1052"/>
      <c r="J61" s="1053"/>
    </row>
    <row r="62" spans="1:10">
      <c r="A62" s="184">
        <f t="shared" si="1"/>
        <v>57</v>
      </c>
      <c r="B62" s="172" t="str">
        <f ca="1">Projections!B62</f>
        <v/>
      </c>
      <c r="C62" s="171"/>
      <c r="D62" s="168"/>
      <c r="E62" s="168"/>
      <c r="F62" s="168"/>
      <c r="G62" s="1051"/>
      <c r="H62" s="1052"/>
      <c r="I62" s="1052"/>
      <c r="J62" s="1053"/>
    </row>
    <row r="63" spans="1:10">
      <c r="A63" s="184">
        <f t="shared" si="1"/>
        <v>58</v>
      </c>
      <c r="B63" s="172" t="str">
        <f ca="1">Projections!B63</f>
        <v/>
      </c>
      <c r="C63" s="171"/>
      <c r="D63" s="168"/>
      <c r="E63" s="168"/>
      <c r="F63" s="168"/>
      <c r="G63" s="1051"/>
      <c r="H63" s="1052"/>
      <c r="I63" s="1052"/>
      <c r="J63" s="1053"/>
    </row>
    <row r="64" spans="1:10">
      <c r="A64" s="184">
        <f t="shared" si="1"/>
        <v>59</v>
      </c>
      <c r="B64" s="172" t="str">
        <f ca="1">Projections!B64</f>
        <v/>
      </c>
      <c r="C64" s="171"/>
      <c r="D64" s="168"/>
      <c r="E64" s="168"/>
      <c r="F64" s="168"/>
      <c r="G64" s="1051"/>
      <c r="H64" s="1052"/>
      <c r="I64" s="1052"/>
      <c r="J64" s="1053"/>
    </row>
    <row r="65" spans="1:10">
      <c r="A65" s="184">
        <f t="shared" si="1"/>
        <v>60</v>
      </c>
      <c r="B65" s="172" t="str">
        <f ca="1">Projections!B65</f>
        <v/>
      </c>
      <c r="C65" s="171"/>
      <c r="D65" s="168"/>
      <c r="E65" s="168"/>
      <c r="F65" s="168"/>
      <c r="G65" s="1051"/>
      <c r="H65" s="1052"/>
      <c r="I65" s="1052"/>
      <c r="J65" s="1053"/>
    </row>
    <row r="66" spans="1:10">
      <c r="A66" s="113"/>
      <c r="B66" s="113"/>
      <c r="C66" s="113"/>
      <c r="D66" s="113"/>
      <c r="E66" s="113"/>
      <c r="F66" s="113"/>
      <c r="G66" s="113"/>
      <c r="H66" s="113"/>
      <c r="I66" s="113"/>
      <c r="J66" s="113"/>
    </row>
    <row r="67" spans="1:10">
      <c r="A67" s="113"/>
      <c r="B67" s="1064"/>
      <c r="C67" s="1065"/>
      <c r="D67" s="1065"/>
      <c r="E67" s="1065"/>
      <c r="F67" s="1065"/>
      <c r="G67" s="1065"/>
      <c r="H67" s="1065"/>
      <c r="I67" s="1065"/>
      <c r="J67" s="1065"/>
    </row>
    <row r="68" spans="1:10" ht="23.25">
      <c r="A68" s="1059"/>
      <c r="B68" s="1060"/>
      <c r="C68" s="1057" t="s">
        <v>476</v>
      </c>
      <c r="D68" s="1058"/>
      <c r="E68" s="1059" t="s">
        <v>475</v>
      </c>
      <c r="F68" s="1061"/>
      <c r="G68" s="1061"/>
      <c r="H68" s="1061"/>
      <c r="I68" s="1061"/>
      <c r="J68" s="1061"/>
    </row>
    <row r="69" spans="1:10">
      <c r="A69" s="1056" t="s">
        <v>375</v>
      </c>
      <c r="B69" s="1056"/>
      <c r="C69" s="1056"/>
      <c r="D69" s="1056"/>
      <c r="E69" s="1056"/>
      <c r="F69" s="1056"/>
      <c r="G69" s="1056"/>
      <c r="H69" s="1056"/>
      <c r="I69" s="1056"/>
      <c r="J69" s="1056"/>
    </row>
    <row r="70" spans="1:10">
      <c r="A70" s="1062" t="s">
        <v>315</v>
      </c>
      <c r="B70" s="1062" t="s">
        <v>285</v>
      </c>
      <c r="C70" s="1062" t="s">
        <v>281</v>
      </c>
      <c r="D70" s="1062" t="s">
        <v>272</v>
      </c>
      <c r="E70" s="1062" t="s">
        <v>232</v>
      </c>
      <c r="F70" s="1062" t="s">
        <v>229</v>
      </c>
      <c r="G70" s="1054" t="s">
        <v>286</v>
      </c>
      <c r="H70" s="1054"/>
      <c r="I70" s="1054"/>
      <c r="J70" s="1054"/>
    </row>
    <row r="71" spans="1:10">
      <c r="A71" s="1063"/>
      <c r="B71" s="1063"/>
      <c r="C71" s="1063"/>
      <c r="D71" s="1063"/>
      <c r="E71" s="1063"/>
      <c r="F71" s="1063"/>
      <c r="G71" s="1055"/>
      <c r="H71" s="1055"/>
      <c r="I71" s="1055"/>
      <c r="J71" s="1055"/>
    </row>
    <row r="72" spans="1:10">
      <c r="A72" s="185">
        <v>0</v>
      </c>
      <c r="B72" s="186" t="str">
        <f ca="1">Projections!B72</f>
        <v>60/60</v>
      </c>
      <c r="C72" s="169"/>
      <c r="D72" s="166"/>
      <c r="E72" s="166"/>
      <c r="F72" s="166"/>
      <c r="G72" s="1066"/>
      <c r="H72" s="1067"/>
      <c r="I72" s="1067"/>
      <c r="J72" s="1068"/>
    </row>
    <row r="73" spans="1:10">
      <c r="A73" s="184">
        <v>1</v>
      </c>
      <c r="B73" s="172" t="str">
        <f ca="1">Projections!B73</f>
        <v>61/61</v>
      </c>
      <c r="C73" s="170"/>
      <c r="D73" s="167"/>
      <c r="E73" s="167"/>
      <c r="F73" s="167"/>
      <c r="G73" s="1051"/>
      <c r="H73" s="1052"/>
      <c r="I73" s="1052"/>
      <c r="J73" s="1053"/>
    </row>
    <row r="74" spans="1:10">
      <c r="A74" s="184">
        <f t="shared" ref="A74:A132" si="2">+A73+1</f>
        <v>2</v>
      </c>
      <c r="B74" s="172" t="str">
        <f ca="1">Projections!B74</f>
        <v>62/62</v>
      </c>
      <c r="C74" s="169"/>
      <c r="D74" s="168"/>
      <c r="E74" s="168"/>
      <c r="F74" s="168"/>
      <c r="G74" s="1051"/>
      <c r="H74" s="1052"/>
      <c r="I74" s="1052"/>
      <c r="J74" s="1053"/>
    </row>
    <row r="75" spans="1:10">
      <c r="A75" s="184">
        <f t="shared" si="2"/>
        <v>3</v>
      </c>
      <c r="B75" s="172" t="str">
        <f ca="1">Projections!B75</f>
        <v>63/63</v>
      </c>
      <c r="C75" s="169"/>
      <c r="D75" s="168"/>
      <c r="E75" s="168"/>
      <c r="F75" s="168"/>
      <c r="G75" s="1051"/>
      <c r="H75" s="1052"/>
      <c r="I75" s="1052"/>
      <c r="J75" s="1053"/>
    </row>
    <row r="76" spans="1:10">
      <c r="A76" s="184">
        <f t="shared" si="2"/>
        <v>4</v>
      </c>
      <c r="B76" s="172" t="str">
        <f ca="1">Projections!B76</f>
        <v>64/64</v>
      </c>
      <c r="C76" s="169"/>
      <c r="D76" s="168"/>
      <c r="E76" s="168"/>
      <c r="F76" s="168"/>
      <c r="G76" s="1051"/>
      <c r="H76" s="1052"/>
      <c r="I76" s="1052"/>
      <c r="J76" s="1053"/>
    </row>
    <row r="77" spans="1:10">
      <c r="A77" s="184">
        <f t="shared" si="2"/>
        <v>5</v>
      </c>
      <c r="B77" s="172" t="str">
        <f ca="1">Projections!B77</f>
        <v>65/65</v>
      </c>
      <c r="C77" s="171"/>
      <c r="D77" s="168"/>
      <c r="E77" s="168"/>
      <c r="F77" s="168"/>
      <c r="G77" s="1051"/>
      <c r="H77" s="1052"/>
      <c r="I77" s="1052"/>
      <c r="J77" s="1053"/>
    </row>
    <row r="78" spans="1:10">
      <c r="A78" s="184">
        <f t="shared" si="2"/>
        <v>6</v>
      </c>
      <c r="B78" s="172" t="str">
        <f ca="1">Projections!B78</f>
        <v>66/66</v>
      </c>
      <c r="C78" s="171"/>
      <c r="D78" s="168"/>
      <c r="E78" s="168"/>
      <c r="F78" s="168"/>
      <c r="G78" s="1051"/>
      <c r="H78" s="1052"/>
      <c r="I78" s="1052"/>
      <c r="J78" s="1053"/>
    </row>
    <row r="79" spans="1:10">
      <c r="A79" s="184">
        <f t="shared" si="2"/>
        <v>7</v>
      </c>
      <c r="B79" s="172" t="str">
        <f ca="1">Projections!B79</f>
        <v>67/67</v>
      </c>
      <c r="C79" s="171"/>
      <c r="D79" s="168"/>
      <c r="E79" s="168"/>
      <c r="F79" s="168"/>
      <c r="G79" s="1051"/>
      <c r="H79" s="1052"/>
      <c r="I79" s="1052"/>
      <c r="J79" s="1053"/>
    </row>
    <row r="80" spans="1:10">
      <c r="A80" s="184">
        <f t="shared" si="2"/>
        <v>8</v>
      </c>
      <c r="B80" s="172" t="str">
        <f ca="1">Projections!B80</f>
        <v>68/68</v>
      </c>
      <c r="C80" s="171"/>
      <c r="D80" s="168"/>
      <c r="E80" s="168"/>
      <c r="F80" s="168"/>
      <c r="G80" s="1051"/>
      <c r="H80" s="1052"/>
      <c r="I80" s="1052"/>
      <c r="J80" s="1053"/>
    </row>
    <row r="81" spans="1:10">
      <c r="A81" s="184">
        <f t="shared" si="2"/>
        <v>9</v>
      </c>
      <c r="B81" s="172" t="str">
        <f ca="1">Projections!B81</f>
        <v>69/69</v>
      </c>
      <c r="C81" s="171"/>
      <c r="D81" s="168"/>
      <c r="E81" s="168"/>
      <c r="F81" s="168"/>
      <c r="G81" s="1051"/>
      <c r="H81" s="1052"/>
      <c r="I81" s="1052"/>
      <c r="J81" s="1053"/>
    </row>
    <row r="82" spans="1:10">
      <c r="A82" s="184">
        <f t="shared" si="2"/>
        <v>10</v>
      </c>
      <c r="B82" s="172" t="str">
        <f ca="1">Projections!B82</f>
        <v>70/70</v>
      </c>
      <c r="C82" s="171"/>
      <c r="D82" s="168"/>
      <c r="E82" s="168"/>
      <c r="F82" s="168"/>
      <c r="G82" s="1051"/>
      <c r="H82" s="1052"/>
      <c r="I82" s="1052"/>
      <c r="J82" s="1053"/>
    </row>
    <row r="83" spans="1:10">
      <c r="A83" s="184">
        <f t="shared" si="2"/>
        <v>11</v>
      </c>
      <c r="B83" s="172" t="str">
        <f ca="1">Projections!B83</f>
        <v>71/71</v>
      </c>
      <c r="C83" s="171"/>
      <c r="D83" s="168"/>
      <c r="E83" s="168"/>
      <c r="F83" s="168"/>
      <c r="G83" s="1051"/>
      <c r="H83" s="1052"/>
      <c r="I83" s="1052"/>
      <c r="J83" s="1053"/>
    </row>
    <row r="84" spans="1:10">
      <c r="A84" s="184">
        <f t="shared" si="2"/>
        <v>12</v>
      </c>
      <c r="B84" s="172" t="str">
        <f ca="1">Projections!B84</f>
        <v>72/72</v>
      </c>
      <c r="C84" s="171"/>
      <c r="D84" s="168"/>
      <c r="E84" s="168"/>
      <c r="F84" s="168"/>
      <c r="G84" s="1051"/>
      <c r="H84" s="1052"/>
      <c r="I84" s="1052"/>
      <c r="J84" s="1053"/>
    </row>
    <row r="85" spans="1:10">
      <c r="A85" s="184">
        <f t="shared" si="2"/>
        <v>13</v>
      </c>
      <c r="B85" s="172" t="str">
        <f ca="1">Projections!B85</f>
        <v>73/73</v>
      </c>
      <c r="C85" s="171"/>
      <c r="D85" s="168"/>
      <c r="E85" s="168"/>
      <c r="F85" s="168"/>
      <c r="G85" s="1051"/>
      <c r="H85" s="1052"/>
      <c r="I85" s="1052"/>
      <c r="J85" s="1053"/>
    </row>
    <row r="86" spans="1:10">
      <c r="A86" s="184">
        <f t="shared" si="2"/>
        <v>14</v>
      </c>
      <c r="B86" s="172" t="str">
        <f ca="1">Projections!B86</f>
        <v>74/74</v>
      </c>
      <c r="C86" s="171"/>
      <c r="D86" s="168"/>
      <c r="E86" s="168"/>
      <c r="F86" s="168"/>
      <c r="G86" s="1051"/>
      <c r="H86" s="1052"/>
      <c r="I86" s="1052"/>
      <c r="J86" s="1053"/>
    </row>
    <row r="87" spans="1:10">
      <c r="A87" s="184">
        <f t="shared" si="2"/>
        <v>15</v>
      </c>
      <c r="B87" s="172" t="str">
        <f ca="1">Projections!B87</f>
        <v>75/75</v>
      </c>
      <c r="C87" s="171"/>
      <c r="D87" s="168"/>
      <c r="E87" s="168"/>
      <c r="F87" s="168"/>
      <c r="G87" s="1051"/>
      <c r="H87" s="1052"/>
      <c r="I87" s="1052"/>
      <c r="J87" s="1053"/>
    </row>
    <row r="88" spans="1:10">
      <c r="A88" s="184">
        <f t="shared" si="2"/>
        <v>16</v>
      </c>
      <c r="B88" s="172" t="str">
        <f ca="1">Projections!B88</f>
        <v>76/76</v>
      </c>
      <c r="C88" s="171"/>
      <c r="D88" s="168"/>
      <c r="E88" s="168"/>
      <c r="F88" s="168"/>
      <c r="G88" s="1051"/>
      <c r="H88" s="1052"/>
      <c r="I88" s="1052"/>
      <c r="J88" s="1053"/>
    </row>
    <row r="89" spans="1:10">
      <c r="A89" s="184">
        <f t="shared" si="2"/>
        <v>17</v>
      </c>
      <c r="B89" s="172" t="str">
        <f ca="1">Projections!B89</f>
        <v>77/77</v>
      </c>
      <c r="C89" s="171"/>
      <c r="D89" s="168"/>
      <c r="E89" s="168"/>
      <c r="F89" s="168"/>
      <c r="G89" s="1051"/>
      <c r="H89" s="1052"/>
      <c r="I89" s="1052"/>
      <c r="J89" s="1053"/>
    </row>
    <row r="90" spans="1:10">
      <c r="A90" s="184">
        <f t="shared" si="2"/>
        <v>18</v>
      </c>
      <c r="B90" s="172" t="str">
        <f ca="1">Projections!B90</f>
        <v>78/78</v>
      </c>
      <c r="C90" s="171"/>
      <c r="D90" s="168"/>
      <c r="E90" s="168"/>
      <c r="F90" s="168"/>
      <c r="G90" s="1051"/>
      <c r="H90" s="1052"/>
      <c r="I90" s="1052"/>
      <c r="J90" s="1053"/>
    </row>
    <row r="91" spans="1:10">
      <c r="A91" s="184">
        <f t="shared" si="2"/>
        <v>19</v>
      </c>
      <c r="B91" s="172" t="str">
        <f ca="1">Projections!B91</f>
        <v>79/79</v>
      </c>
      <c r="C91" s="171"/>
      <c r="D91" s="168"/>
      <c r="E91" s="168"/>
      <c r="F91" s="168"/>
      <c r="G91" s="1051"/>
      <c r="H91" s="1052"/>
      <c r="I91" s="1052"/>
      <c r="J91" s="1053"/>
    </row>
    <row r="92" spans="1:10">
      <c r="A92" s="184">
        <f t="shared" si="2"/>
        <v>20</v>
      </c>
      <c r="B92" s="172" t="str">
        <f ca="1">Projections!B92</f>
        <v>80/80</v>
      </c>
      <c r="C92" s="171"/>
      <c r="D92" s="168"/>
      <c r="E92" s="168"/>
      <c r="F92" s="168"/>
      <c r="G92" s="1051"/>
      <c r="H92" s="1052"/>
      <c r="I92" s="1052"/>
      <c r="J92" s="1053"/>
    </row>
    <row r="93" spans="1:10">
      <c r="A93" s="184">
        <f t="shared" si="2"/>
        <v>21</v>
      </c>
      <c r="B93" s="172" t="str">
        <f ca="1">Projections!B93</f>
        <v>81/81</v>
      </c>
      <c r="C93" s="171"/>
      <c r="D93" s="168"/>
      <c r="E93" s="168"/>
      <c r="F93" s="168"/>
      <c r="G93" s="1051"/>
      <c r="H93" s="1052"/>
      <c r="I93" s="1052"/>
      <c r="J93" s="1053"/>
    </row>
    <row r="94" spans="1:10">
      <c r="A94" s="184">
        <f t="shared" si="2"/>
        <v>22</v>
      </c>
      <c r="B94" s="172" t="str">
        <f ca="1">Projections!B94</f>
        <v>82/82</v>
      </c>
      <c r="C94" s="171"/>
      <c r="D94" s="168"/>
      <c r="E94" s="168"/>
      <c r="F94" s="168"/>
      <c r="G94" s="1051"/>
      <c r="H94" s="1052"/>
      <c r="I94" s="1052"/>
      <c r="J94" s="1053"/>
    </row>
    <row r="95" spans="1:10">
      <c r="A95" s="184">
        <f t="shared" si="2"/>
        <v>23</v>
      </c>
      <c r="B95" s="172" t="str">
        <f ca="1">Projections!B95</f>
        <v>83/83</v>
      </c>
      <c r="C95" s="171"/>
      <c r="D95" s="168"/>
      <c r="E95" s="168"/>
      <c r="F95" s="168"/>
      <c r="G95" s="1051"/>
      <c r="H95" s="1052"/>
      <c r="I95" s="1052"/>
      <c r="J95" s="1053"/>
    </row>
    <row r="96" spans="1:10">
      <c r="A96" s="184">
        <f t="shared" si="2"/>
        <v>24</v>
      </c>
      <c r="B96" s="172" t="str">
        <f ca="1">Projections!B96</f>
        <v>84/84</v>
      </c>
      <c r="C96" s="171"/>
      <c r="D96" s="168"/>
      <c r="E96" s="168"/>
      <c r="F96" s="168"/>
      <c r="G96" s="1051"/>
      <c r="H96" s="1052"/>
      <c r="I96" s="1052"/>
      <c r="J96" s="1053"/>
    </row>
    <row r="97" spans="1:10">
      <c r="A97" s="184">
        <f t="shared" si="2"/>
        <v>25</v>
      </c>
      <c r="B97" s="172" t="str">
        <f ca="1">Projections!B97</f>
        <v>85/85</v>
      </c>
      <c r="C97" s="171"/>
      <c r="D97" s="168"/>
      <c r="E97" s="168"/>
      <c r="F97" s="168"/>
      <c r="G97" s="1051"/>
      <c r="H97" s="1052"/>
      <c r="I97" s="1052"/>
      <c r="J97" s="1053"/>
    </row>
    <row r="98" spans="1:10">
      <c r="A98" s="184">
        <f t="shared" si="2"/>
        <v>26</v>
      </c>
      <c r="B98" s="172" t="str">
        <f ca="1">Projections!B98</f>
        <v>86/86</v>
      </c>
      <c r="C98" s="171"/>
      <c r="D98" s="168"/>
      <c r="E98" s="168"/>
      <c r="F98" s="168"/>
      <c r="G98" s="1051"/>
      <c r="H98" s="1052"/>
      <c r="I98" s="1052"/>
      <c r="J98" s="1053"/>
    </row>
    <row r="99" spans="1:10">
      <c r="A99" s="184">
        <f t="shared" si="2"/>
        <v>27</v>
      </c>
      <c r="B99" s="172" t="str">
        <f ca="1">Projections!B99</f>
        <v>87/87</v>
      </c>
      <c r="C99" s="171"/>
      <c r="D99" s="168"/>
      <c r="E99" s="168"/>
      <c r="F99" s="168"/>
      <c r="G99" s="1051"/>
      <c r="H99" s="1052"/>
      <c r="I99" s="1052"/>
      <c r="J99" s="1053"/>
    </row>
    <row r="100" spans="1:10">
      <c r="A100" s="184">
        <f t="shared" si="2"/>
        <v>28</v>
      </c>
      <c r="B100" s="172" t="str">
        <f ca="1">Projections!B100</f>
        <v>88/88</v>
      </c>
      <c r="C100" s="171"/>
      <c r="D100" s="168"/>
      <c r="E100" s="168"/>
      <c r="F100" s="168"/>
      <c r="G100" s="1051"/>
      <c r="H100" s="1052"/>
      <c r="I100" s="1052"/>
      <c r="J100" s="1053"/>
    </row>
    <row r="101" spans="1:10">
      <c r="A101" s="184">
        <f t="shared" si="2"/>
        <v>29</v>
      </c>
      <c r="B101" s="172" t="str">
        <f ca="1">Projections!B101</f>
        <v>89/89</v>
      </c>
      <c r="C101" s="171"/>
      <c r="D101" s="168"/>
      <c r="E101" s="168"/>
      <c r="F101" s="168"/>
      <c r="G101" s="1051"/>
      <c r="H101" s="1052"/>
      <c r="I101" s="1052"/>
      <c r="J101" s="1053"/>
    </row>
    <row r="102" spans="1:10">
      <c r="A102" s="184">
        <f t="shared" si="2"/>
        <v>30</v>
      </c>
      <c r="B102" s="172" t="str">
        <f ca="1">Projections!B102</f>
        <v>90/90</v>
      </c>
      <c r="C102" s="171"/>
      <c r="D102" s="168"/>
      <c r="E102" s="168"/>
      <c r="F102" s="168"/>
      <c r="G102" s="1051"/>
      <c r="H102" s="1052"/>
      <c r="I102" s="1052"/>
      <c r="J102" s="1053"/>
    </row>
    <row r="103" spans="1:10">
      <c r="A103" s="184">
        <f t="shared" si="2"/>
        <v>31</v>
      </c>
      <c r="B103" s="172" t="str">
        <f ca="1">Projections!B103</f>
        <v/>
      </c>
      <c r="C103" s="171"/>
      <c r="D103" s="168"/>
      <c r="E103" s="168"/>
      <c r="F103" s="168"/>
      <c r="G103" s="1051"/>
      <c r="H103" s="1052"/>
      <c r="I103" s="1052"/>
      <c r="J103" s="1053"/>
    </row>
    <row r="104" spans="1:10">
      <c r="A104" s="184">
        <f t="shared" si="2"/>
        <v>32</v>
      </c>
      <c r="B104" s="172" t="str">
        <f ca="1">Projections!B104</f>
        <v/>
      </c>
      <c r="C104" s="171"/>
      <c r="D104" s="168"/>
      <c r="E104" s="168"/>
      <c r="F104" s="168"/>
      <c r="G104" s="1051"/>
      <c r="H104" s="1052"/>
      <c r="I104" s="1052"/>
      <c r="J104" s="1053"/>
    </row>
    <row r="105" spans="1:10">
      <c r="A105" s="184">
        <f t="shared" si="2"/>
        <v>33</v>
      </c>
      <c r="B105" s="172" t="str">
        <f ca="1">Projections!B105</f>
        <v/>
      </c>
      <c r="C105" s="171"/>
      <c r="D105" s="168"/>
      <c r="E105" s="168"/>
      <c r="F105" s="168"/>
      <c r="G105" s="1051"/>
      <c r="H105" s="1052"/>
      <c r="I105" s="1052"/>
      <c r="J105" s="1053"/>
    </row>
    <row r="106" spans="1:10">
      <c r="A106" s="184">
        <f t="shared" si="2"/>
        <v>34</v>
      </c>
      <c r="B106" s="172" t="str">
        <f ca="1">Projections!B106</f>
        <v/>
      </c>
      <c r="C106" s="171"/>
      <c r="D106" s="168"/>
      <c r="E106" s="168"/>
      <c r="F106" s="168"/>
      <c r="G106" s="1051"/>
      <c r="H106" s="1052"/>
      <c r="I106" s="1052"/>
      <c r="J106" s="1053"/>
    </row>
    <row r="107" spans="1:10">
      <c r="A107" s="184">
        <f t="shared" si="2"/>
        <v>35</v>
      </c>
      <c r="B107" s="172" t="str">
        <f ca="1">Projections!B107</f>
        <v/>
      </c>
      <c r="C107" s="171"/>
      <c r="D107" s="168"/>
      <c r="E107" s="168"/>
      <c r="F107" s="168"/>
      <c r="G107" s="1051"/>
      <c r="H107" s="1052"/>
      <c r="I107" s="1052"/>
      <c r="J107" s="1053"/>
    </row>
    <row r="108" spans="1:10">
      <c r="A108" s="184">
        <f t="shared" si="2"/>
        <v>36</v>
      </c>
      <c r="B108" s="172" t="str">
        <f ca="1">Projections!B108</f>
        <v/>
      </c>
      <c r="C108" s="171"/>
      <c r="D108" s="168"/>
      <c r="E108" s="168"/>
      <c r="F108" s="168"/>
      <c r="G108" s="1051"/>
      <c r="H108" s="1052"/>
      <c r="I108" s="1052"/>
      <c r="J108" s="1053"/>
    </row>
    <row r="109" spans="1:10">
      <c r="A109" s="184">
        <f t="shared" si="2"/>
        <v>37</v>
      </c>
      <c r="B109" s="172" t="str">
        <f ca="1">Projections!B109</f>
        <v/>
      </c>
      <c r="C109" s="171"/>
      <c r="D109" s="168"/>
      <c r="E109" s="168"/>
      <c r="F109" s="168"/>
      <c r="G109" s="1051"/>
      <c r="H109" s="1052"/>
      <c r="I109" s="1052"/>
      <c r="J109" s="1053"/>
    </row>
    <row r="110" spans="1:10">
      <c r="A110" s="184">
        <f t="shared" si="2"/>
        <v>38</v>
      </c>
      <c r="B110" s="172" t="str">
        <f ca="1">Projections!B110</f>
        <v/>
      </c>
      <c r="C110" s="171"/>
      <c r="D110" s="168"/>
      <c r="E110" s="168"/>
      <c r="F110" s="168"/>
      <c r="G110" s="1051"/>
      <c r="H110" s="1052"/>
      <c r="I110" s="1052"/>
      <c r="J110" s="1053"/>
    </row>
    <row r="111" spans="1:10">
      <c r="A111" s="184">
        <f t="shared" si="2"/>
        <v>39</v>
      </c>
      <c r="B111" s="172" t="str">
        <f ca="1">Projections!B111</f>
        <v/>
      </c>
      <c r="C111" s="171"/>
      <c r="D111" s="168"/>
      <c r="E111" s="168"/>
      <c r="F111" s="168"/>
      <c r="G111" s="1051"/>
      <c r="H111" s="1052"/>
      <c r="I111" s="1052"/>
      <c r="J111" s="1053"/>
    </row>
    <row r="112" spans="1:10">
      <c r="A112" s="184">
        <f t="shared" si="2"/>
        <v>40</v>
      </c>
      <c r="B112" s="172" t="str">
        <f ca="1">Projections!B112</f>
        <v/>
      </c>
      <c r="C112" s="171"/>
      <c r="D112" s="168"/>
      <c r="E112" s="168"/>
      <c r="F112" s="168"/>
      <c r="G112" s="1051"/>
      <c r="H112" s="1052"/>
      <c r="I112" s="1052"/>
      <c r="J112" s="1053"/>
    </row>
    <row r="113" spans="1:10">
      <c r="A113" s="184">
        <f t="shared" si="2"/>
        <v>41</v>
      </c>
      <c r="B113" s="172" t="str">
        <f ca="1">Projections!B113</f>
        <v/>
      </c>
      <c r="C113" s="171"/>
      <c r="D113" s="168"/>
      <c r="E113" s="168"/>
      <c r="F113" s="168"/>
      <c r="G113" s="1051"/>
      <c r="H113" s="1052"/>
      <c r="I113" s="1052"/>
      <c r="J113" s="1053"/>
    </row>
    <row r="114" spans="1:10">
      <c r="A114" s="184">
        <f t="shared" si="2"/>
        <v>42</v>
      </c>
      <c r="B114" s="172" t="str">
        <f ca="1">Projections!B114</f>
        <v/>
      </c>
      <c r="C114" s="171"/>
      <c r="D114" s="168"/>
      <c r="E114" s="168"/>
      <c r="F114" s="168"/>
      <c r="G114" s="1051"/>
      <c r="H114" s="1052"/>
      <c r="I114" s="1052"/>
      <c r="J114" s="1053"/>
    </row>
    <row r="115" spans="1:10">
      <c r="A115" s="184">
        <f t="shared" si="2"/>
        <v>43</v>
      </c>
      <c r="B115" s="172" t="str">
        <f ca="1">Projections!B115</f>
        <v/>
      </c>
      <c r="C115" s="171"/>
      <c r="D115" s="168"/>
      <c r="E115" s="168"/>
      <c r="F115" s="168"/>
      <c r="G115" s="1051"/>
      <c r="H115" s="1052"/>
      <c r="I115" s="1052"/>
      <c r="J115" s="1053"/>
    </row>
    <row r="116" spans="1:10">
      <c r="A116" s="184">
        <f t="shared" si="2"/>
        <v>44</v>
      </c>
      <c r="B116" s="172" t="str">
        <f ca="1">Projections!B116</f>
        <v/>
      </c>
      <c r="C116" s="171"/>
      <c r="D116" s="168"/>
      <c r="E116" s="168"/>
      <c r="F116" s="168"/>
      <c r="G116" s="1051"/>
      <c r="H116" s="1052"/>
      <c r="I116" s="1052"/>
      <c r="J116" s="1053"/>
    </row>
    <row r="117" spans="1:10">
      <c r="A117" s="184">
        <f t="shared" si="2"/>
        <v>45</v>
      </c>
      <c r="B117" s="172" t="str">
        <f ca="1">Projections!B117</f>
        <v/>
      </c>
      <c r="C117" s="171"/>
      <c r="D117" s="168"/>
      <c r="E117" s="168"/>
      <c r="F117" s="168"/>
      <c r="G117" s="1051"/>
      <c r="H117" s="1052"/>
      <c r="I117" s="1052"/>
      <c r="J117" s="1053"/>
    </row>
    <row r="118" spans="1:10">
      <c r="A118" s="184">
        <f t="shared" si="2"/>
        <v>46</v>
      </c>
      <c r="B118" s="172" t="str">
        <f ca="1">Projections!B118</f>
        <v/>
      </c>
      <c r="C118" s="171"/>
      <c r="D118" s="168"/>
      <c r="E118" s="168"/>
      <c r="F118" s="168"/>
      <c r="G118" s="1051"/>
      <c r="H118" s="1052"/>
      <c r="I118" s="1052"/>
      <c r="J118" s="1053"/>
    </row>
    <row r="119" spans="1:10">
      <c r="A119" s="184">
        <f t="shared" si="2"/>
        <v>47</v>
      </c>
      <c r="B119" s="172" t="str">
        <f ca="1">Projections!B119</f>
        <v/>
      </c>
      <c r="C119" s="171"/>
      <c r="D119" s="168"/>
      <c r="E119" s="168"/>
      <c r="F119" s="168"/>
      <c r="G119" s="1051"/>
      <c r="H119" s="1052"/>
      <c r="I119" s="1052"/>
      <c r="J119" s="1053"/>
    </row>
    <row r="120" spans="1:10">
      <c r="A120" s="184">
        <f t="shared" si="2"/>
        <v>48</v>
      </c>
      <c r="B120" s="172" t="str">
        <f ca="1">Projections!B120</f>
        <v/>
      </c>
      <c r="C120" s="171"/>
      <c r="D120" s="168"/>
      <c r="E120" s="168"/>
      <c r="F120" s="168"/>
      <c r="G120" s="1051"/>
      <c r="H120" s="1052"/>
      <c r="I120" s="1052"/>
      <c r="J120" s="1053"/>
    </row>
    <row r="121" spans="1:10">
      <c r="A121" s="184">
        <f t="shared" si="2"/>
        <v>49</v>
      </c>
      <c r="B121" s="172" t="str">
        <f ca="1">Projections!B121</f>
        <v/>
      </c>
      <c r="C121" s="171"/>
      <c r="D121" s="168"/>
      <c r="E121" s="168"/>
      <c r="F121" s="168"/>
      <c r="G121" s="1051"/>
      <c r="H121" s="1052"/>
      <c r="I121" s="1052"/>
      <c r="J121" s="1053"/>
    </row>
    <row r="122" spans="1:10">
      <c r="A122" s="184">
        <f t="shared" si="2"/>
        <v>50</v>
      </c>
      <c r="B122" s="172" t="str">
        <f ca="1">Projections!B122</f>
        <v/>
      </c>
      <c r="C122" s="171"/>
      <c r="D122" s="168"/>
      <c r="E122" s="168"/>
      <c r="F122" s="168"/>
      <c r="G122" s="1051"/>
      <c r="H122" s="1052"/>
      <c r="I122" s="1052"/>
      <c r="J122" s="1053"/>
    </row>
    <row r="123" spans="1:10">
      <c r="A123" s="184">
        <f t="shared" si="2"/>
        <v>51</v>
      </c>
      <c r="B123" s="172" t="str">
        <f ca="1">Projections!B123</f>
        <v/>
      </c>
      <c r="C123" s="171"/>
      <c r="D123" s="168"/>
      <c r="E123" s="168"/>
      <c r="F123" s="168"/>
      <c r="G123" s="1051"/>
      <c r="H123" s="1052"/>
      <c r="I123" s="1052"/>
      <c r="J123" s="1053"/>
    </row>
    <row r="124" spans="1:10">
      <c r="A124" s="184">
        <f t="shared" si="2"/>
        <v>52</v>
      </c>
      <c r="B124" s="172" t="str">
        <f ca="1">Projections!B124</f>
        <v/>
      </c>
      <c r="C124" s="171"/>
      <c r="D124" s="168"/>
      <c r="E124" s="168"/>
      <c r="F124" s="168"/>
      <c r="G124" s="1051"/>
      <c r="H124" s="1052"/>
      <c r="I124" s="1052"/>
      <c r="J124" s="1053"/>
    </row>
    <row r="125" spans="1:10">
      <c r="A125" s="184">
        <f t="shared" si="2"/>
        <v>53</v>
      </c>
      <c r="B125" s="172" t="str">
        <f ca="1">Projections!B125</f>
        <v/>
      </c>
      <c r="C125" s="171"/>
      <c r="D125" s="168"/>
      <c r="E125" s="168"/>
      <c r="F125" s="168"/>
      <c r="G125" s="1051"/>
      <c r="H125" s="1052"/>
      <c r="I125" s="1052"/>
      <c r="J125" s="1053"/>
    </row>
    <row r="126" spans="1:10">
      <c r="A126" s="184">
        <f t="shared" si="2"/>
        <v>54</v>
      </c>
      <c r="B126" s="172" t="str">
        <f ca="1">Projections!B126</f>
        <v/>
      </c>
      <c r="C126" s="171"/>
      <c r="D126" s="168"/>
      <c r="E126" s="168"/>
      <c r="F126" s="168"/>
      <c r="G126" s="1051"/>
      <c r="H126" s="1052"/>
      <c r="I126" s="1052"/>
      <c r="J126" s="1053"/>
    </row>
    <row r="127" spans="1:10">
      <c r="A127" s="184">
        <f t="shared" si="2"/>
        <v>55</v>
      </c>
      <c r="B127" s="172" t="str">
        <f ca="1">Projections!B127</f>
        <v/>
      </c>
      <c r="C127" s="171"/>
      <c r="D127" s="168"/>
      <c r="E127" s="168"/>
      <c r="F127" s="168"/>
      <c r="G127" s="1051"/>
      <c r="H127" s="1052"/>
      <c r="I127" s="1052"/>
      <c r="J127" s="1053"/>
    </row>
    <row r="128" spans="1:10">
      <c r="A128" s="184">
        <f t="shared" si="2"/>
        <v>56</v>
      </c>
      <c r="B128" s="172" t="str">
        <f ca="1">Projections!B128</f>
        <v/>
      </c>
      <c r="C128" s="171"/>
      <c r="D128" s="168"/>
      <c r="E128" s="168"/>
      <c r="F128" s="168"/>
      <c r="G128" s="1051"/>
      <c r="H128" s="1052"/>
      <c r="I128" s="1052"/>
      <c r="J128" s="1053"/>
    </row>
    <row r="129" spans="1:10">
      <c r="A129" s="184">
        <f t="shared" si="2"/>
        <v>57</v>
      </c>
      <c r="B129" s="172" t="str">
        <f ca="1">Projections!B129</f>
        <v/>
      </c>
      <c r="C129" s="171"/>
      <c r="D129" s="168"/>
      <c r="E129" s="168"/>
      <c r="F129" s="168"/>
      <c r="G129" s="1051"/>
      <c r="H129" s="1052"/>
      <c r="I129" s="1052"/>
      <c r="J129" s="1053"/>
    </row>
    <row r="130" spans="1:10">
      <c r="A130" s="184">
        <f t="shared" si="2"/>
        <v>58</v>
      </c>
      <c r="B130" s="172" t="str">
        <f ca="1">Projections!B130</f>
        <v/>
      </c>
      <c r="C130" s="171"/>
      <c r="D130" s="168"/>
      <c r="E130" s="168"/>
      <c r="F130" s="168"/>
      <c r="G130" s="1051"/>
      <c r="H130" s="1052"/>
      <c r="I130" s="1052"/>
      <c r="J130" s="1053"/>
    </row>
    <row r="131" spans="1:10">
      <c r="A131" s="184">
        <f t="shared" si="2"/>
        <v>59</v>
      </c>
      <c r="B131" s="172" t="str">
        <f ca="1">Projections!B131</f>
        <v/>
      </c>
      <c r="C131" s="171"/>
      <c r="D131" s="168"/>
      <c r="E131" s="168"/>
      <c r="F131" s="168"/>
      <c r="G131" s="1051"/>
      <c r="H131" s="1052"/>
      <c r="I131" s="1052"/>
      <c r="J131" s="1053"/>
    </row>
    <row r="132" spans="1:10">
      <c r="A132" s="184">
        <f t="shared" si="2"/>
        <v>60</v>
      </c>
      <c r="B132" s="172" t="str">
        <f ca="1">Projections!B132</f>
        <v/>
      </c>
      <c r="C132" s="171"/>
      <c r="D132" s="168"/>
      <c r="E132" s="168"/>
      <c r="F132" s="168"/>
      <c r="G132" s="1051"/>
      <c r="H132" s="1052"/>
      <c r="I132" s="1052"/>
      <c r="J132" s="1053"/>
    </row>
    <row r="133" spans="1:10">
      <c r="A133" s="847"/>
      <c r="B133" s="848"/>
      <c r="C133" s="849"/>
      <c r="D133" s="849"/>
      <c r="E133" s="849"/>
      <c r="F133" s="849"/>
      <c r="G133" s="850"/>
      <c r="H133" s="850"/>
      <c r="I133" s="850"/>
      <c r="J133" s="850"/>
    </row>
    <row r="134" spans="1:10">
      <c r="A134" s="847"/>
      <c r="B134" s="848"/>
      <c r="C134" s="849"/>
      <c r="D134" s="849"/>
      <c r="E134" s="849"/>
      <c r="F134" s="849"/>
      <c r="G134" s="850"/>
      <c r="H134" s="850"/>
      <c r="I134" s="850"/>
      <c r="J134" s="850"/>
    </row>
    <row r="135" spans="1:10" ht="23.25">
      <c r="A135" s="1059"/>
      <c r="B135" s="1060"/>
      <c r="C135" s="1057" t="s">
        <v>476</v>
      </c>
      <c r="D135" s="1058"/>
      <c r="E135" s="1059" t="s">
        <v>475</v>
      </c>
      <c r="F135" s="1061"/>
      <c r="G135" s="1061"/>
      <c r="H135" s="1061"/>
      <c r="I135" s="1061"/>
      <c r="J135" s="1061"/>
    </row>
    <row r="136" spans="1:10">
      <c r="A136" s="1056" t="s">
        <v>375</v>
      </c>
      <c r="B136" s="1056"/>
      <c r="C136" s="1056"/>
      <c r="D136" s="1056"/>
      <c r="E136" s="1056"/>
      <c r="F136" s="1056"/>
      <c r="G136" s="1056"/>
      <c r="H136" s="1056"/>
      <c r="I136" s="1056"/>
      <c r="J136" s="1056"/>
    </row>
    <row r="137" spans="1:10">
      <c r="A137" s="1062" t="s">
        <v>315</v>
      </c>
      <c r="B137" s="1062" t="s">
        <v>285</v>
      </c>
      <c r="C137" s="1062" t="s">
        <v>281</v>
      </c>
      <c r="D137" s="1062" t="s">
        <v>272</v>
      </c>
      <c r="E137" s="1062" t="s">
        <v>232</v>
      </c>
      <c r="F137" s="1062" t="s">
        <v>229</v>
      </c>
      <c r="G137" s="1054" t="s">
        <v>286</v>
      </c>
      <c r="H137" s="1054"/>
      <c r="I137" s="1054"/>
      <c r="J137" s="1054"/>
    </row>
    <row r="138" spans="1:10">
      <c r="A138" s="1063"/>
      <c r="B138" s="1063"/>
      <c r="C138" s="1063"/>
      <c r="D138" s="1063"/>
      <c r="E138" s="1063"/>
      <c r="F138" s="1063"/>
      <c r="G138" s="1055"/>
      <c r="H138" s="1055"/>
      <c r="I138" s="1055"/>
      <c r="J138" s="1055"/>
    </row>
    <row r="139" spans="1:10">
      <c r="A139" s="185">
        <v>0</v>
      </c>
      <c r="B139" s="186" t="str">
        <f ca="1">Projections!B139</f>
        <v>60/60</v>
      </c>
      <c r="C139" s="169"/>
      <c r="D139" s="166"/>
      <c r="E139" s="166"/>
      <c r="F139" s="166"/>
      <c r="G139" s="1066"/>
      <c r="H139" s="1067"/>
      <c r="I139" s="1067"/>
      <c r="J139" s="1068"/>
    </row>
    <row r="140" spans="1:10">
      <c r="A140" s="184">
        <v>1</v>
      </c>
      <c r="B140" s="172" t="str">
        <f ca="1">Projections!B140</f>
        <v>61/61</v>
      </c>
      <c r="C140" s="170"/>
      <c r="D140" s="167"/>
      <c r="E140" s="167"/>
      <c r="F140" s="167"/>
      <c r="G140" s="1051"/>
      <c r="H140" s="1052"/>
      <c r="I140" s="1052"/>
      <c r="J140" s="1053"/>
    </row>
    <row r="141" spans="1:10">
      <c r="A141" s="184">
        <f t="shared" ref="A141:A199" si="3">+A140+1</f>
        <v>2</v>
      </c>
      <c r="B141" s="172" t="str">
        <f ca="1">Projections!B141</f>
        <v>62/62</v>
      </c>
      <c r="C141" s="169"/>
      <c r="D141" s="168"/>
      <c r="E141" s="168"/>
      <c r="F141" s="168"/>
      <c r="G141" s="1051"/>
      <c r="H141" s="1052"/>
      <c r="I141" s="1052"/>
      <c r="J141" s="1053"/>
    </row>
    <row r="142" spans="1:10">
      <c r="A142" s="184">
        <f t="shared" si="3"/>
        <v>3</v>
      </c>
      <c r="B142" s="172" t="str">
        <f ca="1">Projections!B142</f>
        <v>63/63</v>
      </c>
      <c r="C142" s="169"/>
      <c r="D142" s="168"/>
      <c r="E142" s="168"/>
      <c r="F142" s="168"/>
      <c r="G142" s="1051"/>
      <c r="H142" s="1052"/>
      <c r="I142" s="1052"/>
      <c r="J142" s="1053"/>
    </row>
    <row r="143" spans="1:10">
      <c r="A143" s="184">
        <f t="shared" si="3"/>
        <v>4</v>
      </c>
      <c r="B143" s="172" t="str">
        <f ca="1">Projections!B143</f>
        <v>64/64</v>
      </c>
      <c r="C143" s="169"/>
      <c r="D143" s="168"/>
      <c r="E143" s="168"/>
      <c r="F143" s="168"/>
      <c r="G143" s="1051"/>
      <c r="H143" s="1052"/>
      <c r="I143" s="1052"/>
      <c r="J143" s="1053"/>
    </row>
    <row r="144" spans="1:10">
      <c r="A144" s="184">
        <f t="shared" si="3"/>
        <v>5</v>
      </c>
      <c r="B144" s="172" t="str">
        <f ca="1">Projections!B144</f>
        <v>65/65</v>
      </c>
      <c r="C144" s="171"/>
      <c r="D144" s="168"/>
      <c r="E144" s="168"/>
      <c r="F144" s="168"/>
      <c r="G144" s="1051"/>
      <c r="H144" s="1052"/>
      <c r="I144" s="1052"/>
      <c r="J144" s="1053"/>
    </row>
    <row r="145" spans="1:10">
      <c r="A145" s="184">
        <f t="shared" si="3"/>
        <v>6</v>
      </c>
      <c r="B145" s="172" t="str">
        <f ca="1">Projections!B145</f>
        <v>66/66</v>
      </c>
      <c r="C145" s="171"/>
      <c r="D145" s="168"/>
      <c r="E145" s="168"/>
      <c r="F145" s="168"/>
      <c r="G145" s="1051"/>
      <c r="H145" s="1052"/>
      <c r="I145" s="1052"/>
      <c r="J145" s="1053"/>
    </row>
    <row r="146" spans="1:10">
      <c r="A146" s="184">
        <f t="shared" si="3"/>
        <v>7</v>
      </c>
      <c r="B146" s="172" t="str">
        <f ca="1">Projections!B146</f>
        <v>67/67</v>
      </c>
      <c r="C146" s="171"/>
      <c r="D146" s="168"/>
      <c r="E146" s="168"/>
      <c r="F146" s="168"/>
      <c r="G146" s="1051"/>
      <c r="H146" s="1052"/>
      <c r="I146" s="1052"/>
      <c r="J146" s="1053"/>
    </row>
    <row r="147" spans="1:10">
      <c r="A147" s="184">
        <f t="shared" si="3"/>
        <v>8</v>
      </c>
      <c r="B147" s="172" t="str">
        <f ca="1">Projections!B147</f>
        <v>68/68</v>
      </c>
      <c r="C147" s="171"/>
      <c r="D147" s="168"/>
      <c r="E147" s="168"/>
      <c r="F147" s="168"/>
      <c r="G147" s="1051"/>
      <c r="H147" s="1052"/>
      <c r="I147" s="1052"/>
      <c r="J147" s="1053"/>
    </row>
    <row r="148" spans="1:10">
      <c r="A148" s="184">
        <f t="shared" si="3"/>
        <v>9</v>
      </c>
      <c r="B148" s="172" t="str">
        <f ca="1">Projections!B148</f>
        <v>69/69</v>
      </c>
      <c r="C148" s="171"/>
      <c r="D148" s="168"/>
      <c r="E148" s="168"/>
      <c r="F148" s="168"/>
      <c r="G148" s="1051"/>
      <c r="H148" s="1052"/>
      <c r="I148" s="1052"/>
      <c r="J148" s="1053"/>
    </row>
    <row r="149" spans="1:10">
      <c r="A149" s="184">
        <f t="shared" si="3"/>
        <v>10</v>
      </c>
      <c r="B149" s="172" t="str">
        <f ca="1">Projections!B149</f>
        <v>70/70</v>
      </c>
      <c r="C149" s="171"/>
      <c r="D149" s="168"/>
      <c r="E149" s="168"/>
      <c r="F149" s="168"/>
      <c r="G149" s="1051"/>
      <c r="H149" s="1052"/>
      <c r="I149" s="1052"/>
      <c r="J149" s="1053"/>
    </row>
    <row r="150" spans="1:10">
      <c r="A150" s="184">
        <f t="shared" si="3"/>
        <v>11</v>
      </c>
      <c r="B150" s="172" t="str">
        <f ca="1">Projections!B150</f>
        <v>71/71</v>
      </c>
      <c r="C150" s="171"/>
      <c r="D150" s="168"/>
      <c r="E150" s="168"/>
      <c r="F150" s="168"/>
      <c r="G150" s="1051"/>
      <c r="H150" s="1052"/>
      <c r="I150" s="1052"/>
      <c r="J150" s="1053"/>
    </row>
    <row r="151" spans="1:10">
      <c r="A151" s="184">
        <f t="shared" si="3"/>
        <v>12</v>
      </c>
      <c r="B151" s="172" t="str">
        <f ca="1">Projections!B151</f>
        <v>72/72</v>
      </c>
      <c r="C151" s="171"/>
      <c r="D151" s="168"/>
      <c r="E151" s="168"/>
      <c r="F151" s="168"/>
      <c r="G151" s="1051"/>
      <c r="H151" s="1052"/>
      <c r="I151" s="1052"/>
      <c r="J151" s="1053"/>
    </row>
    <row r="152" spans="1:10">
      <c r="A152" s="184">
        <f t="shared" si="3"/>
        <v>13</v>
      </c>
      <c r="B152" s="172" t="str">
        <f ca="1">Projections!B152</f>
        <v>73/73</v>
      </c>
      <c r="C152" s="171"/>
      <c r="D152" s="168"/>
      <c r="E152" s="168"/>
      <c r="F152" s="168"/>
      <c r="G152" s="1051"/>
      <c r="H152" s="1052"/>
      <c r="I152" s="1052"/>
      <c r="J152" s="1053"/>
    </row>
    <row r="153" spans="1:10">
      <c r="A153" s="184">
        <f t="shared" si="3"/>
        <v>14</v>
      </c>
      <c r="B153" s="172" t="str">
        <f ca="1">Projections!B153</f>
        <v>74/74</v>
      </c>
      <c r="C153" s="171"/>
      <c r="D153" s="168"/>
      <c r="E153" s="168"/>
      <c r="F153" s="168"/>
      <c r="G153" s="1051"/>
      <c r="H153" s="1052"/>
      <c r="I153" s="1052"/>
      <c r="J153" s="1053"/>
    </row>
    <row r="154" spans="1:10">
      <c r="A154" s="184">
        <f t="shared" si="3"/>
        <v>15</v>
      </c>
      <c r="B154" s="172" t="str">
        <f ca="1">Projections!B154</f>
        <v>75/75</v>
      </c>
      <c r="C154" s="171"/>
      <c r="D154" s="168"/>
      <c r="E154" s="168"/>
      <c r="F154" s="168"/>
      <c r="G154" s="1051"/>
      <c r="H154" s="1052"/>
      <c r="I154" s="1052"/>
      <c r="J154" s="1053"/>
    </row>
    <row r="155" spans="1:10">
      <c r="A155" s="184">
        <f t="shared" si="3"/>
        <v>16</v>
      </c>
      <c r="B155" s="172" t="str">
        <f ca="1">Projections!B155</f>
        <v>76/76</v>
      </c>
      <c r="C155" s="171"/>
      <c r="D155" s="168"/>
      <c r="E155" s="168"/>
      <c r="F155" s="168"/>
      <c r="G155" s="1051"/>
      <c r="H155" s="1052"/>
      <c r="I155" s="1052"/>
      <c r="J155" s="1053"/>
    </row>
    <row r="156" spans="1:10">
      <c r="A156" s="184">
        <f t="shared" si="3"/>
        <v>17</v>
      </c>
      <c r="B156" s="172" t="str">
        <f ca="1">Projections!B156</f>
        <v>77/77</v>
      </c>
      <c r="C156" s="171"/>
      <c r="D156" s="168"/>
      <c r="E156" s="168"/>
      <c r="F156" s="168"/>
      <c r="G156" s="1051"/>
      <c r="H156" s="1052"/>
      <c r="I156" s="1052"/>
      <c r="J156" s="1053"/>
    </row>
    <row r="157" spans="1:10">
      <c r="A157" s="184">
        <f t="shared" si="3"/>
        <v>18</v>
      </c>
      <c r="B157" s="172" t="str">
        <f ca="1">Projections!B157</f>
        <v>78/78</v>
      </c>
      <c r="C157" s="171"/>
      <c r="D157" s="168"/>
      <c r="E157" s="168"/>
      <c r="F157" s="168"/>
      <c r="G157" s="1051"/>
      <c r="H157" s="1052"/>
      <c r="I157" s="1052"/>
      <c r="J157" s="1053"/>
    </row>
    <row r="158" spans="1:10">
      <c r="A158" s="184">
        <f t="shared" si="3"/>
        <v>19</v>
      </c>
      <c r="B158" s="172" t="str">
        <f ca="1">Projections!B158</f>
        <v>79/79</v>
      </c>
      <c r="C158" s="171"/>
      <c r="D158" s="168"/>
      <c r="E158" s="168"/>
      <c r="F158" s="168"/>
      <c r="G158" s="1051"/>
      <c r="H158" s="1052"/>
      <c r="I158" s="1052"/>
      <c r="J158" s="1053"/>
    </row>
    <row r="159" spans="1:10">
      <c r="A159" s="184">
        <f t="shared" si="3"/>
        <v>20</v>
      </c>
      <c r="B159" s="172" t="str">
        <f ca="1">Projections!B159</f>
        <v>80/80</v>
      </c>
      <c r="C159" s="171"/>
      <c r="D159" s="168"/>
      <c r="E159" s="168"/>
      <c r="F159" s="168"/>
      <c r="G159" s="1051"/>
      <c r="H159" s="1052"/>
      <c r="I159" s="1052"/>
      <c r="J159" s="1053"/>
    </row>
    <row r="160" spans="1:10">
      <c r="A160" s="184">
        <f t="shared" si="3"/>
        <v>21</v>
      </c>
      <c r="B160" s="172" t="str">
        <f ca="1">Projections!B160</f>
        <v>81/81</v>
      </c>
      <c r="C160" s="171"/>
      <c r="D160" s="168"/>
      <c r="E160" s="168"/>
      <c r="F160" s="168"/>
      <c r="G160" s="1051"/>
      <c r="H160" s="1052"/>
      <c r="I160" s="1052"/>
      <c r="J160" s="1053"/>
    </row>
    <row r="161" spans="1:10">
      <c r="A161" s="184">
        <f t="shared" si="3"/>
        <v>22</v>
      </c>
      <c r="B161" s="172" t="str">
        <f ca="1">Projections!B161</f>
        <v>82/82</v>
      </c>
      <c r="C161" s="171"/>
      <c r="D161" s="168"/>
      <c r="E161" s="168"/>
      <c r="F161" s="168"/>
      <c r="G161" s="1051"/>
      <c r="H161" s="1052"/>
      <c r="I161" s="1052"/>
      <c r="J161" s="1053"/>
    </row>
    <row r="162" spans="1:10">
      <c r="A162" s="184">
        <f t="shared" si="3"/>
        <v>23</v>
      </c>
      <c r="B162" s="172" t="str">
        <f ca="1">Projections!B162</f>
        <v>83/83</v>
      </c>
      <c r="C162" s="171"/>
      <c r="D162" s="168"/>
      <c r="E162" s="168"/>
      <c r="F162" s="168"/>
      <c r="G162" s="1051"/>
      <c r="H162" s="1052"/>
      <c r="I162" s="1052"/>
      <c r="J162" s="1053"/>
    </row>
    <row r="163" spans="1:10">
      <c r="A163" s="184">
        <f t="shared" si="3"/>
        <v>24</v>
      </c>
      <c r="B163" s="172" t="str">
        <f ca="1">Projections!B163</f>
        <v>84/84</v>
      </c>
      <c r="C163" s="171"/>
      <c r="D163" s="168"/>
      <c r="E163" s="168"/>
      <c r="F163" s="168"/>
      <c r="G163" s="1051"/>
      <c r="H163" s="1052"/>
      <c r="I163" s="1052"/>
      <c r="J163" s="1053"/>
    </row>
    <row r="164" spans="1:10">
      <c r="A164" s="184">
        <f t="shared" si="3"/>
        <v>25</v>
      </c>
      <c r="B164" s="172" t="str">
        <f ca="1">Projections!B164</f>
        <v>85/85</v>
      </c>
      <c r="C164" s="171"/>
      <c r="D164" s="168"/>
      <c r="E164" s="168"/>
      <c r="F164" s="168"/>
      <c r="G164" s="1051"/>
      <c r="H164" s="1052"/>
      <c r="I164" s="1052"/>
      <c r="J164" s="1053"/>
    </row>
    <row r="165" spans="1:10">
      <c r="A165" s="184">
        <f t="shared" si="3"/>
        <v>26</v>
      </c>
      <c r="B165" s="172" t="str">
        <f ca="1">Projections!B165</f>
        <v>86/86</v>
      </c>
      <c r="C165" s="171"/>
      <c r="D165" s="168"/>
      <c r="E165" s="168"/>
      <c r="F165" s="168"/>
      <c r="G165" s="1051"/>
      <c r="H165" s="1052"/>
      <c r="I165" s="1052"/>
      <c r="J165" s="1053"/>
    </row>
    <row r="166" spans="1:10">
      <c r="A166" s="184">
        <f t="shared" si="3"/>
        <v>27</v>
      </c>
      <c r="B166" s="172" t="str">
        <f ca="1">Projections!B166</f>
        <v>87/87</v>
      </c>
      <c r="C166" s="171"/>
      <c r="D166" s="168"/>
      <c r="E166" s="168"/>
      <c r="F166" s="168"/>
      <c r="G166" s="1051"/>
      <c r="H166" s="1052"/>
      <c r="I166" s="1052"/>
      <c r="J166" s="1053"/>
    </row>
    <row r="167" spans="1:10">
      <c r="A167" s="184">
        <f t="shared" si="3"/>
        <v>28</v>
      </c>
      <c r="B167" s="172" t="str">
        <f ca="1">Projections!B167</f>
        <v>88/88</v>
      </c>
      <c r="C167" s="171"/>
      <c r="D167" s="168"/>
      <c r="E167" s="168"/>
      <c r="F167" s="168"/>
      <c r="G167" s="1051"/>
      <c r="H167" s="1052"/>
      <c r="I167" s="1052"/>
      <c r="J167" s="1053"/>
    </row>
    <row r="168" spans="1:10">
      <c r="A168" s="184">
        <f t="shared" si="3"/>
        <v>29</v>
      </c>
      <c r="B168" s="172" t="str">
        <f ca="1">Projections!B168</f>
        <v>89/89</v>
      </c>
      <c r="C168" s="171"/>
      <c r="D168" s="168"/>
      <c r="E168" s="168"/>
      <c r="F168" s="168"/>
      <c r="G168" s="1051"/>
      <c r="H168" s="1052"/>
      <c r="I168" s="1052"/>
      <c r="J168" s="1053"/>
    </row>
    <row r="169" spans="1:10">
      <c r="A169" s="184">
        <f t="shared" si="3"/>
        <v>30</v>
      </c>
      <c r="B169" s="172" t="str">
        <f ca="1">Projections!B169</f>
        <v>90/90</v>
      </c>
      <c r="C169" s="171"/>
      <c r="D169" s="168"/>
      <c r="E169" s="168"/>
      <c r="F169" s="168"/>
      <c r="G169" s="1051"/>
      <c r="H169" s="1052"/>
      <c r="I169" s="1052"/>
      <c r="J169" s="1053"/>
    </row>
    <row r="170" spans="1:10">
      <c r="A170" s="184">
        <f t="shared" si="3"/>
        <v>31</v>
      </c>
      <c r="B170" s="172" t="str">
        <f ca="1">Projections!B170</f>
        <v/>
      </c>
      <c r="C170" s="171"/>
      <c r="D170" s="168"/>
      <c r="E170" s="168"/>
      <c r="F170" s="168"/>
      <c r="G170" s="1051"/>
      <c r="H170" s="1052"/>
      <c r="I170" s="1052"/>
      <c r="J170" s="1053"/>
    </row>
    <row r="171" spans="1:10">
      <c r="A171" s="184">
        <f t="shared" si="3"/>
        <v>32</v>
      </c>
      <c r="B171" s="172" t="str">
        <f ca="1">Projections!B171</f>
        <v/>
      </c>
      <c r="C171" s="171"/>
      <c r="D171" s="168"/>
      <c r="E171" s="168"/>
      <c r="F171" s="168"/>
      <c r="G171" s="1051"/>
      <c r="H171" s="1052"/>
      <c r="I171" s="1052"/>
      <c r="J171" s="1053"/>
    </row>
    <row r="172" spans="1:10">
      <c r="A172" s="184">
        <f t="shared" si="3"/>
        <v>33</v>
      </c>
      <c r="B172" s="172" t="str">
        <f ca="1">Projections!B172</f>
        <v/>
      </c>
      <c r="C172" s="171"/>
      <c r="D172" s="168"/>
      <c r="E172" s="168"/>
      <c r="F172" s="168"/>
      <c r="G172" s="1051"/>
      <c r="H172" s="1052"/>
      <c r="I172" s="1052"/>
      <c r="J172" s="1053"/>
    </row>
    <row r="173" spans="1:10">
      <c r="A173" s="184">
        <f t="shared" si="3"/>
        <v>34</v>
      </c>
      <c r="B173" s="172" t="str">
        <f ca="1">Projections!B173</f>
        <v/>
      </c>
      <c r="C173" s="171"/>
      <c r="D173" s="168"/>
      <c r="E173" s="168"/>
      <c r="F173" s="168"/>
      <c r="G173" s="1051"/>
      <c r="H173" s="1052"/>
      <c r="I173" s="1052"/>
      <c r="J173" s="1053"/>
    </row>
    <row r="174" spans="1:10">
      <c r="A174" s="184">
        <f t="shared" si="3"/>
        <v>35</v>
      </c>
      <c r="B174" s="172" t="str">
        <f ca="1">Projections!B174</f>
        <v/>
      </c>
      <c r="C174" s="171"/>
      <c r="D174" s="168"/>
      <c r="E174" s="168"/>
      <c r="F174" s="168"/>
      <c r="G174" s="1051"/>
      <c r="H174" s="1052"/>
      <c r="I174" s="1052"/>
      <c r="J174" s="1053"/>
    </row>
    <row r="175" spans="1:10">
      <c r="A175" s="184">
        <f t="shared" si="3"/>
        <v>36</v>
      </c>
      <c r="B175" s="172" t="str">
        <f ca="1">Projections!B175</f>
        <v/>
      </c>
      <c r="C175" s="171"/>
      <c r="D175" s="168"/>
      <c r="E175" s="168"/>
      <c r="F175" s="168"/>
      <c r="G175" s="1051"/>
      <c r="H175" s="1052"/>
      <c r="I175" s="1052"/>
      <c r="J175" s="1053"/>
    </row>
    <row r="176" spans="1:10">
      <c r="A176" s="184">
        <f t="shared" si="3"/>
        <v>37</v>
      </c>
      <c r="B176" s="172" t="str">
        <f ca="1">Projections!B176</f>
        <v/>
      </c>
      <c r="C176" s="171"/>
      <c r="D176" s="168"/>
      <c r="E176" s="168"/>
      <c r="F176" s="168"/>
      <c r="G176" s="1051"/>
      <c r="H176" s="1052"/>
      <c r="I176" s="1052"/>
      <c r="J176" s="1053"/>
    </row>
    <row r="177" spans="1:10">
      <c r="A177" s="184">
        <f t="shared" si="3"/>
        <v>38</v>
      </c>
      <c r="B177" s="172" t="str">
        <f ca="1">Projections!B177</f>
        <v/>
      </c>
      <c r="C177" s="171"/>
      <c r="D177" s="168"/>
      <c r="E177" s="168"/>
      <c r="F177" s="168"/>
      <c r="G177" s="1051"/>
      <c r="H177" s="1052"/>
      <c r="I177" s="1052"/>
      <c r="J177" s="1053"/>
    </row>
    <row r="178" spans="1:10">
      <c r="A178" s="184">
        <f t="shared" si="3"/>
        <v>39</v>
      </c>
      <c r="B178" s="172" t="str">
        <f ca="1">Projections!B178</f>
        <v/>
      </c>
      <c r="C178" s="171"/>
      <c r="D178" s="168"/>
      <c r="E178" s="168"/>
      <c r="F178" s="168"/>
      <c r="G178" s="1051"/>
      <c r="H178" s="1052"/>
      <c r="I178" s="1052"/>
      <c r="J178" s="1053"/>
    </row>
    <row r="179" spans="1:10">
      <c r="A179" s="184">
        <f t="shared" si="3"/>
        <v>40</v>
      </c>
      <c r="B179" s="172" t="str">
        <f ca="1">Projections!B179</f>
        <v/>
      </c>
      <c r="C179" s="171"/>
      <c r="D179" s="168"/>
      <c r="E179" s="168"/>
      <c r="F179" s="168"/>
      <c r="G179" s="1051"/>
      <c r="H179" s="1052"/>
      <c r="I179" s="1052"/>
      <c r="J179" s="1053"/>
    </row>
    <row r="180" spans="1:10">
      <c r="A180" s="184">
        <f t="shared" si="3"/>
        <v>41</v>
      </c>
      <c r="B180" s="172" t="str">
        <f ca="1">Projections!B180</f>
        <v/>
      </c>
      <c r="C180" s="171"/>
      <c r="D180" s="168"/>
      <c r="E180" s="168"/>
      <c r="F180" s="168"/>
      <c r="G180" s="1051"/>
      <c r="H180" s="1052"/>
      <c r="I180" s="1052"/>
      <c r="J180" s="1053"/>
    </row>
    <row r="181" spans="1:10">
      <c r="A181" s="184">
        <f t="shared" si="3"/>
        <v>42</v>
      </c>
      <c r="B181" s="172" t="str">
        <f ca="1">Projections!B181</f>
        <v/>
      </c>
      <c r="C181" s="171"/>
      <c r="D181" s="168"/>
      <c r="E181" s="168"/>
      <c r="F181" s="168"/>
      <c r="G181" s="1051"/>
      <c r="H181" s="1052"/>
      <c r="I181" s="1052"/>
      <c r="J181" s="1053"/>
    </row>
    <row r="182" spans="1:10">
      <c r="A182" s="184">
        <f t="shared" si="3"/>
        <v>43</v>
      </c>
      <c r="B182" s="172" t="str">
        <f ca="1">Projections!B182</f>
        <v/>
      </c>
      <c r="C182" s="171"/>
      <c r="D182" s="168"/>
      <c r="E182" s="168"/>
      <c r="F182" s="168"/>
      <c r="G182" s="1051"/>
      <c r="H182" s="1052"/>
      <c r="I182" s="1052"/>
      <c r="J182" s="1053"/>
    </row>
    <row r="183" spans="1:10">
      <c r="A183" s="184">
        <f t="shared" si="3"/>
        <v>44</v>
      </c>
      <c r="B183" s="172" t="str">
        <f ca="1">Projections!B183</f>
        <v/>
      </c>
      <c r="C183" s="171"/>
      <c r="D183" s="168"/>
      <c r="E183" s="168"/>
      <c r="F183" s="168"/>
      <c r="G183" s="1051"/>
      <c r="H183" s="1052"/>
      <c r="I183" s="1052"/>
      <c r="J183" s="1053"/>
    </row>
    <row r="184" spans="1:10">
      <c r="A184" s="184">
        <f t="shared" si="3"/>
        <v>45</v>
      </c>
      <c r="B184" s="172" t="str">
        <f ca="1">Projections!B184</f>
        <v/>
      </c>
      <c r="C184" s="171"/>
      <c r="D184" s="168"/>
      <c r="E184" s="168"/>
      <c r="F184" s="168"/>
      <c r="G184" s="1051"/>
      <c r="H184" s="1052"/>
      <c r="I184" s="1052"/>
      <c r="J184" s="1053"/>
    </row>
    <row r="185" spans="1:10">
      <c r="A185" s="184">
        <f t="shared" si="3"/>
        <v>46</v>
      </c>
      <c r="B185" s="172" t="str">
        <f ca="1">Projections!B185</f>
        <v/>
      </c>
      <c r="C185" s="171"/>
      <c r="D185" s="168"/>
      <c r="E185" s="168"/>
      <c r="F185" s="168"/>
      <c r="G185" s="1051"/>
      <c r="H185" s="1052"/>
      <c r="I185" s="1052"/>
      <c r="J185" s="1053"/>
    </row>
    <row r="186" spans="1:10">
      <c r="A186" s="184">
        <f t="shared" si="3"/>
        <v>47</v>
      </c>
      <c r="B186" s="172" t="str">
        <f ca="1">Projections!B186</f>
        <v/>
      </c>
      <c r="C186" s="171"/>
      <c r="D186" s="168"/>
      <c r="E186" s="168"/>
      <c r="F186" s="168"/>
      <c r="G186" s="1051"/>
      <c r="H186" s="1052"/>
      <c r="I186" s="1052"/>
      <c r="J186" s="1053"/>
    </row>
    <row r="187" spans="1:10">
      <c r="A187" s="184">
        <f t="shared" si="3"/>
        <v>48</v>
      </c>
      <c r="B187" s="172" t="str">
        <f ca="1">Projections!B187</f>
        <v/>
      </c>
      <c r="C187" s="171"/>
      <c r="D187" s="168"/>
      <c r="E187" s="168"/>
      <c r="F187" s="168"/>
      <c r="G187" s="1051"/>
      <c r="H187" s="1052"/>
      <c r="I187" s="1052"/>
      <c r="J187" s="1053"/>
    </row>
    <row r="188" spans="1:10">
      <c r="A188" s="184">
        <f t="shared" si="3"/>
        <v>49</v>
      </c>
      <c r="B188" s="172" t="str">
        <f ca="1">Projections!B188</f>
        <v/>
      </c>
      <c r="C188" s="171"/>
      <c r="D188" s="168"/>
      <c r="E188" s="168"/>
      <c r="F188" s="168"/>
      <c r="G188" s="1051"/>
      <c r="H188" s="1052"/>
      <c r="I188" s="1052"/>
      <c r="J188" s="1053"/>
    </row>
    <row r="189" spans="1:10">
      <c r="A189" s="184">
        <f t="shared" si="3"/>
        <v>50</v>
      </c>
      <c r="B189" s="172" t="str">
        <f ca="1">Projections!B189</f>
        <v/>
      </c>
      <c r="C189" s="171"/>
      <c r="D189" s="168"/>
      <c r="E189" s="168"/>
      <c r="F189" s="168"/>
      <c r="G189" s="1051"/>
      <c r="H189" s="1052"/>
      <c r="I189" s="1052"/>
      <c r="J189" s="1053"/>
    </row>
    <row r="190" spans="1:10">
      <c r="A190" s="184">
        <f t="shared" si="3"/>
        <v>51</v>
      </c>
      <c r="B190" s="172" t="str">
        <f ca="1">Projections!B190</f>
        <v/>
      </c>
      <c r="C190" s="171"/>
      <c r="D190" s="168"/>
      <c r="E190" s="168"/>
      <c r="F190" s="168"/>
      <c r="G190" s="1051"/>
      <c r="H190" s="1052"/>
      <c r="I190" s="1052"/>
      <c r="J190" s="1053"/>
    </row>
    <row r="191" spans="1:10">
      <c r="A191" s="184">
        <f t="shared" si="3"/>
        <v>52</v>
      </c>
      <c r="B191" s="172" t="str">
        <f ca="1">Projections!B191</f>
        <v/>
      </c>
      <c r="C191" s="171"/>
      <c r="D191" s="168"/>
      <c r="E191" s="168"/>
      <c r="F191" s="168"/>
      <c r="G191" s="1051"/>
      <c r="H191" s="1052"/>
      <c r="I191" s="1052"/>
      <c r="J191" s="1053"/>
    </row>
    <row r="192" spans="1:10">
      <c r="A192" s="184">
        <f t="shared" si="3"/>
        <v>53</v>
      </c>
      <c r="B192" s="172" t="str">
        <f ca="1">Projections!B192</f>
        <v/>
      </c>
      <c r="C192" s="171"/>
      <c r="D192" s="168"/>
      <c r="E192" s="168"/>
      <c r="F192" s="168"/>
      <c r="G192" s="1051"/>
      <c r="H192" s="1052"/>
      <c r="I192" s="1052"/>
      <c r="J192" s="1053"/>
    </row>
    <row r="193" spans="1:10">
      <c r="A193" s="184">
        <f t="shared" si="3"/>
        <v>54</v>
      </c>
      <c r="B193" s="172" t="str">
        <f ca="1">Projections!B193</f>
        <v/>
      </c>
      <c r="C193" s="171"/>
      <c r="D193" s="168"/>
      <c r="E193" s="168"/>
      <c r="F193" s="168"/>
      <c r="G193" s="1051"/>
      <c r="H193" s="1052"/>
      <c r="I193" s="1052"/>
      <c r="J193" s="1053"/>
    </row>
    <row r="194" spans="1:10">
      <c r="A194" s="184">
        <f t="shared" si="3"/>
        <v>55</v>
      </c>
      <c r="B194" s="172" t="str">
        <f ca="1">Projections!B194</f>
        <v/>
      </c>
      <c r="C194" s="171"/>
      <c r="D194" s="168"/>
      <c r="E194" s="168"/>
      <c r="F194" s="168"/>
      <c r="G194" s="1051"/>
      <c r="H194" s="1052"/>
      <c r="I194" s="1052"/>
      <c r="J194" s="1053"/>
    </row>
    <row r="195" spans="1:10">
      <c r="A195" s="184">
        <f t="shared" si="3"/>
        <v>56</v>
      </c>
      <c r="B195" s="172" t="str">
        <f ca="1">Projections!B195</f>
        <v/>
      </c>
      <c r="C195" s="171"/>
      <c r="D195" s="168"/>
      <c r="E195" s="168"/>
      <c r="F195" s="168"/>
      <c r="G195" s="1051"/>
      <c r="H195" s="1052"/>
      <c r="I195" s="1052"/>
      <c r="J195" s="1053"/>
    </row>
    <row r="196" spans="1:10">
      <c r="A196" s="184">
        <f t="shared" si="3"/>
        <v>57</v>
      </c>
      <c r="B196" s="172" t="str">
        <f ca="1">Projections!B196</f>
        <v/>
      </c>
      <c r="C196" s="171"/>
      <c r="D196" s="168"/>
      <c r="E196" s="168"/>
      <c r="F196" s="168"/>
      <c r="G196" s="1051"/>
      <c r="H196" s="1052"/>
      <c r="I196" s="1052"/>
      <c r="J196" s="1053"/>
    </row>
    <row r="197" spans="1:10">
      <c r="A197" s="184">
        <f t="shared" si="3"/>
        <v>58</v>
      </c>
      <c r="B197" s="172" t="str">
        <f ca="1">Projections!B197</f>
        <v/>
      </c>
      <c r="C197" s="171"/>
      <c r="D197" s="168"/>
      <c r="E197" s="168"/>
      <c r="F197" s="168"/>
      <c r="G197" s="1051"/>
      <c r="H197" s="1052"/>
      <c r="I197" s="1052"/>
      <c r="J197" s="1053"/>
    </row>
    <row r="198" spans="1:10">
      <c r="A198" s="184">
        <f t="shared" si="3"/>
        <v>59</v>
      </c>
      <c r="B198" s="172" t="str">
        <f ca="1">Projections!B198</f>
        <v/>
      </c>
      <c r="C198" s="171"/>
      <c r="D198" s="168"/>
      <c r="E198" s="168"/>
      <c r="F198" s="168"/>
      <c r="G198" s="1051"/>
      <c r="H198" s="1052"/>
      <c r="I198" s="1052"/>
      <c r="J198" s="1053"/>
    </row>
    <row r="199" spans="1:10">
      <c r="A199" s="184">
        <f t="shared" si="3"/>
        <v>60</v>
      </c>
      <c r="B199" s="172" t="str">
        <f ca="1">Projections!B199</f>
        <v/>
      </c>
      <c r="C199" s="171"/>
      <c r="D199" s="168"/>
      <c r="E199" s="168"/>
      <c r="F199" s="168"/>
      <c r="G199" s="1051"/>
      <c r="H199" s="1052"/>
      <c r="I199" s="1052"/>
      <c r="J199" s="1053"/>
    </row>
  </sheetData>
  <sheetProtection password="9227" sheet="1" objects="1" scenarios="1" selectLockedCells="1"/>
  <mergeCells count="217">
    <mergeCell ref="G197:J197"/>
    <mergeCell ref="G198:J198"/>
    <mergeCell ref="G199:J199"/>
    <mergeCell ref="A68:B68"/>
    <mergeCell ref="C68:D68"/>
    <mergeCell ref="E68:J68"/>
    <mergeCell ref="A69:J69"/>
    <mergeCell ref="A70:A71"/>
    <mergeCell ref="B70:B71"/>
    <mergeCell ref="C70:C71"/>
    <mergeCell ref="D70:D71"/>
    <mergeCell ref="E70:E71"/>
    <mergeCell ref="F70:F71"/>
    <mergeCell ref="G70:J71"/>
    <mergeCell ref="G72:J72"/>
    <mergeCell ref="G73:J73"/>
    <mergeCell ref="G192:J192"/>
    <mergeCell ref="G193:J193"/>
    <mergeCell ref="G194:J194"/>
    <mergeCell ref="G195:J195"/>
    <mergeCell ref="G196:J196"/>
    <mergeCell ref="G187:J187"/>
    <mergeCell ref="G188:J188"/>
    <mergeCell ref="G189:J189"/>
    <mergeCell ref="G190:J190"/>
    <mergeCell ref="G191:J191"/>
    <mergeCell ref="G182:J182"/>
    <mergeCell ref="G183:J183"/>
    <mergeCell ref="G184:J184"/>
    <mergeCell ref="G185:J185"/>
    <mergeCell ref="G186:J186"/>
    <mergeCell ref="G177:J177"/>
    <mergeCell ref="G178:J178"/>
    <mergeCell ref="G179:J179"/>
    <mergeCell ref="G180:J180"/>
    <mergeCell ref="G181:J181"/>
    <mergeCell ref="G172:J172"/>
    <mergeCell ref="G173:J173"/>
    <mergeCell ref="G174:J174"/>
    <mergeCell ref="G175:J175"/>
    <mergeCell ref="G176:J176"/>
    <mergeCell ref="G167:J167"/>
    <mergeCell ref="G168:J168"/>
    <mergeCell ref="G169:J169"/>
    <mergeCell ref="G170:J170"/>
    <mergeCell ref="G171:J171"/>
    <mergeCell ref="G162:J162"/>
    <mergeCell ref="G163:J163"/>
    <mergeCell ref="G164:J164"/>
    <mergeCell ref="G165:J165"/>
    <mergeCell ref="G166:J166"/>
    <mergeCell ref="G157:J157"/>
    <mergeCell ref="G158:J158"/>
    <mergeCell ref="G159:J159"/>
    <mergeCell ref="G160:J160"/>
    <mergeCell ref="G161:J161"/>
    <mergeCell ref="G152:J152"/>
    <mergeCell ref="G153:J153"/>
    <mergeCell ref="G154:J154"/>
    <mergeCell ref="G155:J155"/>
    <mergeCell ref="G156:J156"/>
    <mergeCell ref="G147:J147"/>
    <mergeCell ref="G148:J148"/>
    <mergeCell ref="G149:J149"/>
    <mergeCell ref="G150:J150"/>
    <mergeCell ref="G151:J151"/>
    <mergeCell ref="G142:J142"/>
    <mergeCell ref="G143:J143"/>
    <mergeCell ref="G144:J144"/>
    <mergeCell ref="G145:J145"/>
    <mergeCell ref="G146:J146"/>
    <mergeCell ref="F137:F138"/>
    <mergeCell ref="G137:J138"/>
    <mergeCell ref="G139:J139"/>
    <mergeCell ref="G140:J140"/>
    <mergeCell ref="G141:J141"/>
    <mergeCell ref="A137:A138"/>
    <mergeCell ref="B137:B138"/>
    <mergeCell ref="C137:C138"/>
    <mergeCell ref="D137:D138"/>
    <mergeCell ref="E137:E138"/>
    <mergeCell ref="A135:B135"/>
    <mergeCell ref="C135:D135"/>
    <mergeCell ref="E135:J135"/>
    <mergeCell ref="A136:J136"/>
    <mergeCell ref="G129:J129"/>
    <mergeCell ref="G130:J130"/>
    <mergeCell ref="G131:J131"/>
    <mergeCell ref="G132:J132"/>
    <mergeCell ref="G124:J124"/>
    <mergeCell ref="G125:J125"/>
    <mergeCell ref="G126:J126"/>
    <mergeCell ref="G127:J127"/>
    <mergeCell ref="G128:J128"/>
    <mergeCell ref="G119:J119"/>
    <mergeCell ref="G120:J120"/>
    <mergeCell ref="G121:J121"/>
    <mergeCell ref="G122:J122"/>
    <mergeCell ref="G123:J123"/>
    <mergeCell ref="G114:J114"/>
    <mergeCell ref="G115:J115"/>
    <mergeCell ref="G116:J116"/>
    <mergeCell ref="G117:J117"/>
    <mergeCell ref="G118:J118"/>
    <mergeCell ref="G109:J109"/>
    <mergeCell ref="G110:J110"/>
    <mergeCell ref="G111:J111"/>
    <mergeCell ref="G112:J112"/>
    <mergeCell ref="G113:J113"/>
    <mergeCell ref="G104:J104"/>
    <mergeCell ref="G105:J105"/>
    <mergeCell ref="G106:J106"/>
    <mergeCell ref="G107:J107"/>
    <mergeCell ref="G108:J108"/>
    <mergeCell ref="G99:J99"/>
    <mergeCell ref="G100:J100"/>
    <mergeCell ref="G101:J101"/>
    <mergeCell ref="G102:J102"/>
    <mergeCell ref="G103:J103"/>
    <mergeCell ref="G94:J94"/>
    <mergeCell ref="G95:J95"/>
    <mergeCell ref="G96:J96"/>
    <mergeCell ref="G97:J97"/>
    <mergeCell ref="G98:J98"/>
    <mergeCell ref="G89:J89"/>
    <mergeCell ref="G90:J90"/>
    <mergeCell ref="G91:J91"/>
    <mergeCell ref="G92:J92"/>
    <mergeCell ref="G93:J93"/>
    <mergeCell ref="G84:J84"/>
    <mergeCell ref="G85:J85"/>
    <mergeCell ref="G86:J86"/>
    <mergeCell ref="G87:J87"/>
    <mergeCell ref="G88:J88"/>
    <mergeCell ref="G79:J79"/>
    <mergeCell ref="G80:J80"/>
    <mergeCell ref="G81:J81"/>
    <mergeCell ref="G82:J82"/>
    <mergeCell ref="G83:J83"/>
    <mergeCell ref="G74:J74"/>
    <mergeCell ref="G75:J75"/>
    <mergeCell ref="G76:J76"/>
    <mergeCell ref="G77:J77"/>
    <mergeCell ref="G78:J78"/>
    <mergeCell ref="B67:J67"/>
    <mergeCell ref="G9:J9"/>
    <mergeCell ref="G5:J5"/>
    <mergeCell ref="G6:J6"/>
    <mergeCell ref="G7:J7"/>
    <mergeCell ref="G8:J8"/>
    <mergeCell ref="G15:J15"/>
    <mergeCell ref="G16:J16"/>
    <mergeCell ref="G17:J17"/>
    <mergeCell ref="G18:J18"/>
    <mergeCell ref="G24:J24"/>
    <mergeCell ref="G10:J10"/>
    <mergeCell ref="G11:J11"/>
    <mergeCell ref="G12:J12"/>
    <mergeCell ref="G13:J13"/>
    <mergeCell ref="G14:J14"/>
    <mergeCell ref="G20:J20"/>
    <mergeCell ref="G21:J21"/>
    <mergeCell ref="G22:J22"/>
    <mergeCell ref="G23:J23"/>
    <mergeCell ref="G36:J36"/>
    <mergeCell ref="G25:J25"/>
    <mergeCell ref="G26:J26"/>
    <mergeCell ref="G27:J27"/>
    <mergeCell ref="G35:J35"/>
    <mergeCell ref="G48:J48"/>
    <mergeCell ref="A2:J2"/>
    <mergeCell ref="C1:D1"/>
    <mergeCell ref="A1:B1"/>
    <mergeCell ref="E1:J1"/>
    <mergeCell ref="G19:J19"/>
    <mergeCell ref="C3:C4"/>
    <mergeCell ref="A3:A4"/>
    <mergeCell ref="D3:D4"/>
    <mergeCell ref="E3:E4"/>
    <mergeCell ref="F3:F4"/>
    <mergeCell ref="B3:B4"/>
    <mergeCell ref="G65:J65"/>
    <mergeCell ref="G3:J4"/>
    <mergeCell ref="G60:J60"/>
    <mergeCell ref="G61:J61"/>
    <mergeCell ref="G62:J62"/>
    <mergeCell ref="G63:J63"/>
    <mergeCell ref="G64:J64"/>
    <mergeCell ref="G55:J55"/>
    <mergeCell ref="G56:J56"/>
    <mergeCell ref="G57:J57"/>
    <mergeCell ref="G43:J43"/>
    <mergeCell ref="G44:J44"/>
    <mergeCell ref="G54:J54"/>
    <mergeCell ref="G45:J45"/>
    <mergeCell ref="G46:J46"/>
    <mergeCell ref="G47:J47"/>
    <mergeCell ref="G58:J58"/>
    <mergeCell ref="G28:J28"/>
    <mergeCell ref="G29:J29"/>
    <mergeCell ref="G30:J30"/>
    <mergeCell ref="G31:J31"/>
    <mergeCell ref="G32:J32"/>
    <mergeCell ref="G33:J33"/>
    <mergeCell ref="G34:J34"/>
    <mergeCell ref="G59:J59"/>
    <mergeCell ref="G50:J50"/>
    <mergeCell ref="G51:J51"/>
    <mergeCell ref="G52:J52"/>
    <mergeCell ref="G53:J53"/>
    <mergeCell ref="G49:J49"/>
    <mergeCell ref="G37:J37"/>
    <mergeCell ref="G38:J38"/>
    <mergeCell ref="G39:J39"/>
    <mergeCell ref="G40:J40"/>
    <mergeCell ref="G41:J41"/>
    <mergeCell ref="G42:J42"/>
  </mergeCells>
  <printOptions horizontalCentered="1"/>
  <pageMargins left="0.45" right="0.45" top="0.75" bottom="0.5" header="0.3" footer="0.5"/>
  <pageSetup scale="71" orientation="portrait" horizontalDpi="1200" verticalDpi="1200" r:id="rId1"/>
  <headerFooter alignWithMargins="0">
    <oddFooter>&amp;C&amp;"Gill Sans,Regular"&amp;6&amp;K01+023SUPPLEMENTAL PAGE</oddFooter>
  </headerFooter>
  <legacyDrawing r:id="rId2"/>
</worksheet>
</file>

<file path=xl/worksheets/sheet6.xml><?xml version="1.0" encoding="utf-8"?>
<worksheet xmlns="http://schemas.openxmlformats.org/spreadsheetml/2006/main" xmlns:r="http://schemas.openxmlformats.org/officeDocument/2006/relationships">
  <dimension ref="A1:AA200"/>
  <sheetViews>
    <sheetView showGridLines="0" showRowColHeaders="0" showRuler="0" zoomScale="85" zoomScaleNormal="85" workbookViewId="0">
      <selection sqref="A1:C1"/>
    </sheetView>
  </sheetViews>
  <sheetFormatPr defaultRowHeight="15"/>
  <cols>
    <col min="1" max="1" width="2.75" style="106" customWidth="1"/>
    <col min="2" max="2" width="4.375" style="106" customWidth="1"/>
    <col min="3" max="3" width="5.625" style="106" customWidth="1"/>
    <col min="4" max="4" width="11.125" style="106" customWidth="1"/>
    <col min="5" max="8" width="10.875" style="106" customWidth="1"/>
    <col min="9" max="9" width="11.125" style="106" customWidth="1"/>
    <col min="10" max="10" width="10.875" style="647" customWidth="1"/>
    <col min="11" max="11" width="10.875" style="106" customWidth="1"/>
    <col min="12" max="12" width="11.125" style="106" hidden="1" customWidth="1"/>
    <col min="13" max="19" width="11.25" style="106" customWidth="1"/>
    <col min="20" max="20" width="11.25" style="108" customWidth="1"/>
    <col min="21" max="21" width="1.125" style="107" customWidth="1"/>
    <col min="22" max="26" width="9" style="108" customWidth="1"/>
    <col min="28" max="16384" width="9" style="108"/>
  </cols>
  <sheetData>
    <row r="1" spans="1:26" ht="30.75" customHeight="1" thickBot="1">
      <c r="A1" s="1075"/>
      <c r="B1" s="1076"/>
      <c r="C1" s="1077"/>
      <c r="D1" s="1024" t="s">
        <v>447</v>
      </c>
      <c r="E1" s="1025"/>
      <c r="F1" s="1072" t="s">
        <v>404</v>
      </c>
      <c r="G1" s="1073"/>
      <c r="H1" s="1073"/>
      <c r="I1" s="1073"/>
      <c r="J1" s="1073"/>
      <c r="K1" s="1074"/>
      <c r="L1" s="658"/>
      <c r="M1" s="1078" t="s">
        <v>447</v>
      </c>
      <c r="N1" s="1079"/>
      <c r="O1" s="1072" t="s">
        <v>405</v>
      </c>
      <c r="P1" s="1073"/>
      <c r="Q1" s="1073"/>
      <c r="R1" s="1073"/>
      <c r="S1" s="1073"/>
      <c r="T1" s="1074"/>
      <c r="U1" s="111"/>
      <c r="V1" s="111"/>
      <c r="W1" s="111"/>
      <c r="X1" s="111"/>
      <c r="Y1" s="111"/>
      <c r="Z1" s="111"/>
    </row>
    <row r="2" spans="1:26" ht="18" customHeight="1">
      <c r="A2" s="1071" t="s">
        <v>299</v>
      </c>
      <c r="B2" s="1071"/>
      <c r="C2" s="1071"/>
      <c r="D2" s="1071"/>
      <c r="E2" s="1071"/>
      <c r="F2" s="1071"/>
      <c r="G2" s="1071"/>
      <c r="H2" s="1071"/>
      <c r="I2" s="1071"/>
      <c r="J2" s="1071"/>
      <c r="K2" s="1071"/>
      <c r="L2" s="1071"/>
      <c r="M2" s="1071" t="s">
        <v>365</v>
      </c>
      <c r="N2" s="1071"/>
      <c r="O2" s="1071"/>
      <c r="P2" s="1071"/>
      <c r="Q2" s="1071"/>
      <c r="R2" s="1071"/>
      <c r="S2" s="1071"/>
      <c r="T2" s="1071"/>
      <c r="U2" s="364"/>
    </row>
    <row r="3" spans="1:26" s="109" customFormat="1" ht="27.75" customHeight="1">
      <c r="A3" s="387" t="s">
        <v>6</v>
      </c>
      <c r="B3" s="387" t="s">
        <v>234</v>
      </c>
      <c r="C3" s="387" t="s">
        <v>2</v>
      </c>
      <c r="D3" s="387" t="s">
        <v>293</v>
      </c>
      <c r="E3" s="387" t="str">
        <f>'Additional Input'!$A$28</f>
        <v>Fixed Assets</v>
      </c>
      <c r="F3" s="387" t="str">
        <f>'Additional Input'!$A$27</f>
        <v>Qualified Assets</v>
      </c>
      <c r="G3" s="387" t="s">
        <v>240</v>
      </c>
      <c r="H3" s="387" t="s">
        <v>443</v>
      </c>
      <c r="I3" s="387" t="s">
        <v>427</v>
      </c>
      <c r="J3" s="644" t="s">
        <v>403</v>
      </c>
      <c r="K3" s="557" t="s">
        <v>389</v>
      </c>
      <c r="L3" s="557" t="s">
        <v>433</v>
      </c>
      <c r="M3" s="387" t="s">
        <v>228</v>
      </c>
      <c r="N3" s="387" t="s">
        <v>274</v>
      </c>
      <c r="O3" s="391" t="s">
        <v>334</v>
      </c>
      <c r="P3" s="392" t="s">
        <v>236</v>
      </c>
      <c r="Q3" s="387" t="s">
        <v>287</v>
      </c>
      <c r="R3" s="387" t="s">
        <v>232</v>
      </c>
      <c r="S3" s="387" t="s">
        <v>292</v>
      </c>
      <c r="T3" s="387" t="s">
        <v>239</v>
      </c>
      <c r="U3" s="365"/>
      <c r="V3" s="173"/>
    </row>
    <row r="4" spans="1:26" ht="15" customHeight="1">
      <c r="A4" s="160"/>
      <c r="B4" s="160"/>
      <c r="C4" s="160"/>
      <c r="D4" s="161">
        <f>'Additional Input'!$F$26</f>
        <v>0.04</v>
      </c>
      <c r="E4" s="161">
        <f>'Additional Input'!$F$28</f>
        <v>0.03</v>
      </c>
      <c r="F4" s="161">
        <f>'Additional Input'!$F$27</f>
        <v>0.06</v>
      </c>
      <c r="G4" s="161">
        <f>'Additional Input'!F29</f>
        <v>0.04</v>
      </c>
      <c r="H4" s="161" t="s">
        <v>442</v>
      </c>
      <c r="I4" s="162"/>
      <c r="J4" s="645" t="str">
        <f>'Additional Input'!$F$26*100&amp;"%"</f>
        <v>4%</v>
      </c>
      <c r="K4" s="162"/>
      <c r="L4" s="162"/>
      <c r="M4" s="388">
        <f ca="1">IF(I5-G5-H5=0,0,IF(I5=0,0,M5/(I5-G5-H5)))</f>
        <v>0.04</v>
      </c>
      <c r="N4" s="1070" t="s">
        <v>335</v>
      </c>
      <c r="O4" s="1070"/>
      <c r="P4" s="1070"/>
      <c r="Q4" s="1070"/>
      <c r="R4" s="389">
        <f>'Additional Input'!D12</f>
        <v>0.2</v>
      </c>
      <c r="S4" s="390">
        <f>IF('Additional Input'!F18=TRUE,'Additional Input'!D13,0)</f>
        <v>0.02</v>
      </c>
      <c r="T4" s="163"/>
      <c r="U4" s="366"/>
    </row>
    <row r="5" spans="1:26" ht="14.25" customHeight="1">
      <c r="A5" s="122">
        <v>0</v>
      </c>
      <c r="B5" s="158" t="str">
        <f ca="1">'Additional Input'!$N$9&amp;"/"&amp;IF('Additional Input'!$O$9="","",IF('Additional Input'!$O$9=0,"",'Additional Input'!$O$9))</f>
        <v>60/60</v>
      </c>
      <c r="C5" s="566">
        <f>'Additional Input'!N13</f>
        <v>2013</v>
      </c>
      <c r="D5" s="159">
        <f ca="1">'Additional Input'!$D$26-VLOOKUP(A5,Gifts,6)</f>
        <v>14916000</v>
      </c>
      <c r="E5" s="159">
        <f>'Additional Input'!$D$28</f>
        <v>0</v>
      </c>
      <c r="F5" s="159">
        <f>'Additional Input'!$D$27</f>
        <v>0</v>
      </c>
      <c r="G5" s="646">
        <f>-'Additional Input'!$D$29</f>
        <v>0</v>
      </c>
      <c r="H5" s="159">
        <f ca="1">IF(A5&gt;'Additional Input'!$E$11,"",IF(A5&lt;=Calculator!$F$7,Calculator!$D$7,0)+Calculator!$D$8-IF(A5&gt;3,Calculator!$H$8,0))</f>
        <v>0</v>
      </c>
      <c r="I5" s="159">
        <f ca="1">D5+E5+F5+G5+H5</f>
        <v>14916000</v>
      </c>
      <c r="J5" s="646">
        <f ca="1">IF(A5&gt;'Additional Input'!$E$11,"",VLOOKUP(A5,Gifts,9))</f>
        <v>84000</v>
      </c>
      <c r="K5" s="159">
        <f ca="1">IF(A5&gt;'Additional Input'!$E$11,"",IF(Calculator!$D$20=TRUE,Calculator!$I$20,0)+IF(A5&gt;3,Calculator!$H$8,0))</f>
        <v>0</v>
      </c>
      <c r="L5" s="159">
        <f ca="1">IF(A5&gt;'Additional Input'!$E$11,"",J5+K5)</f>
        <v>84000</v>
      </c>
      <c r="M5" s="126">
        <f ca="1">(D5*'Additional Input'!$F$26)+(E5*'Additional Input'!$F$28)+(F5*'Additional Input'!$F$27)</f>
        <v>596640</v>
      </c>
      <c r="N5" s="126">
        <f ca="1">IF(('Additional Input'!$K$35)&gt;Projections!A5,'Additional Input'!$D$35*(1+IF('Additional Input'!$H$35=TRUE,'Additional Input'!$D$13,0))^Projections!A5,0)+IF(('Additional Input'!$K$36)&gt;Projections!A5,'Additional Input'!$D$36*(1+IF('Additional Input'!$H$36=TRUE,'Additional Input'!$D$13,0))^Projections!A5,0)-IF(('Additional Input'!$K$40)&gt;A5,'Additional Input'!$D$40*(1+IF('Additional Input'!$H$39=TRUE,'Additional Input'!$D$13,0))^A5,0)+IF(('Additional Input'!$F$37-'Additional Input'!$N$9)&lt;=Projections!A5,'Additional Input'!$D$37*(1+IF('Additional Input'!$H$37=TRUE,'Additional Input'!$D$13,0))^IF('Additional Input'!$K$37=TRUE,Projections!A5,Projections!A5-('Additional Input'!$F$37-'Additional Input'!$N$9)),0)+Adjustments!C5</f>
        <v>0</v>
      </c>
      <c r="O5" s="823">
        <f ca="1">IF(('Additional Input'!$N$9+Projections!$A5)&gt;=IF('Additional Input'!$K$44=TRUE,71,70),VLOOKUP(('Additional Input'!$N$9+Projections!$A5),UniformTable,2),0)</f>
        <v>0</v>
      </c>
      <c r="P5" s="822">
        <f ca="1">IF($O5=0,0,$F5/$O5)</f>
        <v>0</v>
      </c>
      <c r="Q5" s="126">
        <f ca="1">IF(IF('Additional Input'!$D$44=TRUE,IF($O5=0,0,$F5/$O5),IF('Additional Input'!$F$45-'Additional Input'!$N$9&lt;=Projections!$A5,IF($F5*(1+$F$4)&lt;'Additional Input'!$D$45*IF('Additional Input'!$H$45=TRUE,(1+'Additional Input'!$D$13)^$A5,1),$F5*(1+$F$4),'Additional Input'!$D$45*IF('Additional Input'!$H$45=TRUE,(1+'Additional Input'!$D$13)^$A5,1)),0))&lt;$P5,$P5,IF('Additional Input'!$D$44=TRUE,IF($O5=0,0,$F5/$O5),IF('Additional Input'!$F$45-'Additional Input'!$N$9&lt;=Projections!$A5,IF($F5*(1+$F$4)&lt;'Additional Input'!$D$45*IF('Additional Input'!$H$45=TRUE,(1+'Additional Input'!$D$13)^$A5,1),$F5*(1+$F$4),'Additional Input'!$D$45*IF('Additional Input'!$H$45=TRUE,(1+'Additional Input'!$D$13)^$A5,1)),0)))+Adjustments!D5</f>
        <v>0</v>
      </c>
      <c r="R5" s="571">
        <f ca="1">-((N5+Q5)*'Additional Input'!$D$12)+Adjustments!E5</f>
        <v>0</v>
      </c>
      <c r="S5" s="571">
        <f ca="1">IF($A5&gt;='Additional Input'!$D$19,-'Additional Input'!$D$18*(1+IF('Additional Input'!$F$18=TRUE,'Additional Input'!$D$13,0))^Projections!A5,0)-TaxTables!D31+Adjustments!F5-VLOOKUP(A5,Gifts,6)</f>
        <v>-84000</v>
      </c>
      <c r="T5" s="126">
        <f ca="1">N5+Q5+R5+S5</f>
        <v>-84000</v>
      </c>
      <c r="U5" s="367"/>
    </row>
    <row r="6" spans="1:26" ht="14.25" customHeight="1">
      <c r="A6" s="122">
        <f t="shared" ref="A6:A65" si="0">+A5+1</f>
        <v>1</v>
      </c>
      <c r="B6" s="110" t="str">
        <f ca="1">IF(A6&gt;'Additional Input'!$E$11,"",IF('Additional Input'!$N$9="","",'Additional Input'!$N$9+Projections!A6)&amp;"/"&amp;IF('Additional Input'!$O$9="","",IF('Additional Input'!$O$9=0,"",'Additional Input'!$O$9+Projections!A6)))</f>
        <v>61/61</v>
      </c>
      <c r="C6" s="122">
        <f ca="1">IF(A6&gt;'Additional Input'!$E$11,"",+C5+1)</f>
        <v>2014</v>
      </c>
      <c r="D6" s="159">
        <f ca="1">IF(A6&gt;'Additional Input'!$E$11,"",($D5*(1+'Additional Input'!$F$26))+$N5+$Q5+$R5+$S5+VLOOKUP(A5,Gifts,6)-VLOOKUP(A6,Gifts,6))</f>
        <v>15428640</v>
      </c>
      <c r="E6" s="159">
        <f ca="1">IF(A6&gt;'Additional Input'!$E$11,"",E5*(1+'Additional Input'!$F$28))</f>
        <v>0</v>
      </c>
      <c r="F6" s="159">
        <f ca="1">IF(A6&gt;'Additional Input'!$E$11,"",($F5*(1+'Additional Input'!$F$27))-$Q5+IF(('Additional Input'!$K$40)&gt;A5,'Additional Input'!$D$40*(1+IF('Additional Input'!$H$40=TRUE,'Additional Input'!$D$13,0))^A5,0)+IF(('Additional Input'!$K$40)&gt;A5,'Additional Input'!$F$40*(1+IF('Additional Input'!$H$40=TRUE,'Additional Input'!$D$13,0))^A5,0))</f>
        <v>0</v>
      </c>
      <c r="G6" s="646">
        <f ca="1">IF(A6&gt;'Additional Input'!$E$11,"",-VLOOKUP(A6*12,Amortization,2))</f>
        <v>0</v>
      </c>
      <c r="H6" s="159">
        <f ca="1">IF(A6&gt;'Additional Input'!$E$11,"",IF(A6&lt;=Calculator!$F$7,Calculator!$D$7,0)+Calculator!$D$8-IF(A6&gt;3,Calculator!$H$8,0))</f>
        <v>0</v>
      </c>
      <c r="I6" s="159">
        <f ca="1">IF(A6&gt;'Additional Input'!$E$11,"",D6+E6+F6+G6+H6)</f>
        <v>15428640</v>
      </c>
      <c r="J6" s="646">
        <f ca="1">IF(A6&gt;'Additional Input'!$E$11,"",VLOOKUP(A6,Gifts,9))</f>
        <v>171360</v>
      </c>
      <c r="K6" s="159">
        <f ca="1">IF(A6&gt;'Additional Input'!$E$11,"",IF(Calculator!$D$20=TRUE,Calculator!$I$20,0)+IF(A6&gt;3,Calculator!$H$8,0))</f>
        <v>0</v>
      </c>
      <c r="L6" s="159">
        <f ca="1">IF(A6&gt;'Additional Input'!$E$11,"",J6+K6)</f>
        <v>171360</v>
      </c>
      <c r="M6" s="126">
        <f ca="1">IF(A6&gt;'Additional Input'!$E$11,"",(D6*'Additional Input'!$F$26)+(E6*'Additional Input'!$F$28)+(F6*'Additional Input'!$F$27))</f>
        <v>617145.59999999998</v>
      </c>
      <c r="N6" s="126">
        <f ca="1">IF(A6&gt;'Additional Input'!$E$11,"",IF(('Additional Input'!$K$35)&gt;Projections!A6,'Additional Input'!$D$35*(1+IF('Additional Input'!$H$35=TRUE,'Additional Input'!$D$13,0))^Projections!A6,0)+IF(('Additional Input'!$K$36)&gt;Projections!A6,'Additional Input'!$D$36*(1+IF('Additional Input'!$H$36=TRUE,'Additional Input'!$D$13,0))^Projections!A6,0)-IF(('Additional Input'!$K$40)&gt;A6,'Additional Input'!$D$40*(1+IF('Additional Input'!$H$39=TRUE,'Additional Input'!$D$13,0))^A6,0)+IF(('Additional Input'!$F$37-'Additional Input'!$N$9)&lt;=Projections!A6,'Additional Input'!$D$37*(1+IF('Additional Input'!$H$37=TRUE,'Additional Input'!$D$13,0))^IF('Additional Input'!$K$37=TRUE,Projections!A6,Projections!A6-('Additional Input'!$F$37-'Additional Input'!$N$9)),0)+Adjustments!C6)</f>
        <v>0</v>
      </c>
      <c r="O6" s="823">
        <f ca="1">IF(A6&gt;'Additional Input'!$E$11,"",IF(('Additional Input'!$N$9+Projections!$A6)&gt;=IF('Additional Input'!$K$44=TRUE,71,70),VLOOKUP(('Additional Input'!$N$9+Projections!$A6),UniformTable,2),0))</f>
        <v>0</v>
      </c>
      <c r="P6" s="822">
        <f ca="1">IF(A6&gt;'Additional Input'!$E$11,"",IF($O6=0,0,$F6/$O6))</f>
        <v>0</v>
      </c>
      <c r="Q6" s="178">
        <f ca="1">IF(A6&gt;'Additional Input'!$E$11,"",IF(IF('Additional Input'!$D$44=TRUE,IF($O6=0,0,$F6/$O6),IF('Additional Input'!$F$45-'Additional Input'!$N$9&lt;=Projections!$A6,IF($F6*(1+$F$4)&lt;'Additional Input'!$D$45*IF('Additional Input'!$H$45=TRUE,(1+'Additional Input'!$D$13)^IF('Additional Input'!$K$45=TRUE,$A6,$A6-('Additional Input'!$F$45-'Additional Input'!$N$9)),1),$F6*(1+$F$4),'Additional Input'!$D$45*IF('Additional Input'!$H$45=TRUE,(1+'Additional Input'!$D$13)^IF('Additional Input'!$K$45=TRUE,$A6,$A6-('Additional Input'!$F$45-'Additional Input'!$N$9)),1)),0))&lt;$P6,$P6,IF('Additional Input'!$D$44=TRUE,IF($O6=0,0,$F6/$O6),IF('Additional Input'!$F$45-'Additional Input'!$N$9&lt;=Projections!$A6,IF($F6*(1+$F$4)&lt;'Additional Input'!$D$45*IF('Additional Input'!$H$45=TRUE,(1+'Additional Input'!$D$13)^IF('Additional Input'!$K$45=TRUE,$A6,$A6-('Additional Input'!$F$45-'Additional Input'!$N$9)),1),$F6*(1+$F$4),'Additional Input'!$D$45*IF('Additional Input'!$H$45=TRUE,(1+'Additional Input'!$D$13)^IF('Additional Input'!$K$45=TRUE,$A6,$A6-('Additional Input'!$F$45-'Additional Input'!$N$9)),1)),0)))+Adjustments!D6)</f>
        <v>0</v>
      </c>
      <c r="R6" s="571">
        <f ca="1">IF(A6&gt;'Additional Input'!$E$11,"",-((N6+Q6)*'Additional Input'!$D$12)+Adjustments!E6)</f>
        <v>0</v>
      </c>
      <c r="S6" s="571">
        <f ca="1">IF(A6&gt;'Additional Input'!$E$11,"",IF($A6&gt;='Additional Input'!$D$19,-'Additional Input'!$D$18*(1+IF('Additional Input'!$F$18=TRUE,'Additional Input'!$D$13,0))^Projections!A6,0)-TaxTables!D32+Adjustments!F6-VLOOKUP(A6,Gifts,6))</f>
        <v>-84000</v>
      </c>
      <c r="T6" s="126">
        <f ca="1">IF(A6&gt;'Additional Input'!$E$11,"",N6+Q6+R6+S6)</f>
        <v>-84000</v>
      </c>
      <c r="U6" s="367"/>
    </row>
    <row r="7" spans="1:26" ht="14.25" customHeight="1">
      <c r="A7" s="122">
        <f t="shared" si="0"/>
        <v>2</v>
      </c>
      <c r="B7" s="110" t="str">
        <f ca="1">IF(A7&gt;'Additional Input'!$E$11,"",IF('Additional Input'!$N$9="","",'Additional Input'!$N$9+Projections!A7)&amp;"/"&amp;IF('Additional Input'!$O$9="","",IF('Additional Input'!$O$9=0,"",'Additional Input'!$O$9+Projections!A7)))</f>
        <v>62/62</v>
      </c>
      <c r="C7" s="122">
        <f ca="1">IF(A7&gt;'Additional Input'!$E$11,"",+C6+1)</f>
        <v>2015</v>
      </c>
      <c r="D7" s="159">
        <f ca="1">IF(A7&gt;'Additional Input'!$E$11,"",($D6*(1+'Additional Input'!$F$26))+$N6+$Q6+$R6+$S6+VLOOKUP(A6,Gifts,6)-VLOOKUP(A7,Gifts,6))</f>
        <v>15961785.6</v>
      </c>
      <c r="E7" s="159">
        <f ca="1">IF(A7&gt;'Additional Input'!$E$11,"",E6*(1+'Additional Input'!$F$28))</f>
        <v>0</v>
      </c>
      <c r="F7" s="159">
        <f ca="1">IF(A7&gt;'Additional Input'!$E$11,"",($F6*(1+'Additional Input'!$F$27))-$Q6+IF(('Additional Input'!$K$40)&gt;A6,'Additional Input'!$D$40*(1+IF('Additional Input'!$H$40=TRUE,'Additional Input'!$D$13,0))^A6,0)+IF(('Additional Input'!$K$40)&gt;A6,'Additional Input'!$F$40*(1+IF('Additional Input'!$H$40=TRUE,'Additional Input'!$D$13,0))^A6,0))</f>
        <v>0</v>
      </c>
      <c r="G7" s="646">
        <f ca="1">IF(A7&gt;'Additional Input'!$E$11,"",-VLOOKUP(A7*12,Amortization,2))</f>
        <v>0</v>
      </c>
      <c r="H7" s="159">
        <f ca="1">IF(A7&gt;'Additional Input'!$E$11,"",IF(A7&lt;=Calculator!$F$7,Calculator!$D$7,0)+Calculator!$D$8-IF(A7&gt;3,Calculator!$H$8,0))</f>
        <v>0</v>
      </c>
      <c r="I7" s="159">
        <f ca="1">IF(A7&gt;'Additional Input'!$E$11,"",D7+E7+F7+G7+H7)</f>
        <v>15961785.6</v>
      </c>
      <c r="J7" s="646">
        <f ca="1">IF(A7&gt;'Additional Input'!$E$11,"",VLOOKUP(A7,Gifts,9))</f>
        <v>262214.40000000002</v>
      </c>
      <c r="K7" s="159">
        <f ca="1">IF(A7&gt;'Additional Input'!$E$11,"",IF(Calculator!$D$20=TRUE,Calculator!$I$20,0)+IF(A7&gt;3,Calculator!$H$8,0))</f>
        <v>0</v>
      </c>
      <c r="L7" s="159">
        <f ca="1">IF(A7&gt;'Additional Input'!$E$11,"",J7+K7)</f>
        <v>262214.40000000002</v>
      </c>
      <c r="M7" s="126">
        <f ca="1">IF(A7&gt;'Additional Input'!$E$11,"",(D7*'Additional Input'!$F$26)+(E7*'Additional Input'!$F$28)+(F7*'Additional Input'!$F$27))</f>
        <v>638471.424</v>
      </c>
      <c r="N7" s="126">
        <f ca="1">IF(A7&gt;'Additional Input'!$E$11,"",IF(('Additional Input'!$K$35)&gt;Projections!A7,'Additional Input'!$D$35*(1+IF('Additional Input'!$H$35=TRUE,'Additional Input'!$D$13,0))^Projections!A7,0)+IF(('Additional Input'!$K$36)&gt;Projections!A7,'Additional Input'!$D$36*(1+IF('Additional Input'!$H$36=TRUE,'Additional Input'!$D$13,0))^Projections!A7,0)-IF(('Additional Input'!$K$40)&gt;A7,'Additional Input'!$D$40*(1+IF('Additional Input'!$H$39=TRUE,'Additional Input'!$D$13,0))^A7,0)+IF(('Additional Input'!$F$37-'Additional Input'!$N$9)&lt;=Projections!A7,'Additional Input'!$D$37*(1+IF('Additional Input'!$H$37=TRUE,'Additional Input'!$D$13,0))^IF('Additional Input'!$K$37=TRUE,Projections!A7,Projections!A7-('Additional Input'!$F$37-'Additional Input'!$N$9)),0)+Adjustments!C7)</f>
        <v>0</v>
      </c>
      <c r="O7" s="823">
        <f ca="1">IF(A7&gt;'Additional Input'!$E$11,"",IF(('Additional Input'!$N$9+Projections!$A7)&gt;=IF('Additional Input'!$K$44=TRUE,71,70),VLOOKUP(('Additional Input'!$N$9+Projections!$A7),UniformTable,2),0))</f>
        <v>0</v>
      </c>
      <c r="P7" s="822">
        <f ca="1">IF(A7&gt;'Additional Input'!$E$11,"",IF($O7=0,0,$F7/$O7))</f>
        <v>0</v>
      </c>
      <c r="Q7" s="178">
        <f ca="1">IF(A7&gt;'Additional Input'!$E$11,"",IF(IF('Additional Input'!$D$44=TRUE,IF($O7=0,0,$F7/$O7),IF('Additional Input'!$F$45-'Additional Input'!$N$9&lt;=Projections!$A7,IF($F7*(1+$F$4)&lt;'Additional Input'!$D$45*IF('Additional Input'!$H$45=TRUE,(1+'Additional Input'!$D$13)^IF('Additional Input'!$K$45=TRUE,$A7,$A7-('Additional Input'!$F$45-'Additional Input'!$N$9)),1),$F7*(1+$F$4),'Additional Input'!$D$45*IF('Additional Input'!$H$45=TRUE,(1+'Additional Input'!$D$13)^IF('Additional Input'!$K$45=TRUE,$A7,$A7-('Additional Input'!$F$45-'Additional Input'!$N$9)),1)),0))&lt;$P7,$P7,IF('Additional Input'!$D$44=TRUE,IF($O7=0,0,$F7/$O7),IF('Additional Input'!$F$45-'Additional Input'!$N$9&lt;=Projections!$A7,IF($F7*(1+$F$4)&lt;'Additional Input'!$D$45*IF('Additional Input'!$H$45=TRUE,(1+'Additional Input'!$D$13)^IF('Additional Input'!$K$45=TRUE,$A7,$A7-('Additional Input'!$F$45-'Additional Input'!$N$9)),1),$F7*(1+$F$4),'Additional Input'!$D$45*IF('Additional Input'!$H$45=TRUE,(1+'Additional Input'!$D$13)^IF('Additional Input'!$K$45=TRUE,$A7,$A7-('Additional Input'!$F$45-'Additional Input'!$N$9)),1)),0)))+Adjustments!D7)</f>
        <v>0</v>
      </c>
      <c r="R7" s="571">
        <f ca="1">IF(A7&gt;'Additional Input'!$E$11,"",-((N7+Q7)*'Additional Input'!$D$12)+Adjustments!E7)</f>
        <v>0</v>
      </c>
      <c r="S7" s="571">
        <f ca="1">IF(A7&gt;'Additional Input'!$E$11,"",IF($A7&gt;='Additional Input'!$D$19,-'Additional Input'!$D$18*(1+IF('Additional Input'!$F$18=TRUE,'Additional Input'!$D$13,0))^Projections!A7,0)-TaxTables!D33+Adjustments!F7-VLOOKUP(A7,Gifts,6))</f>
        <v>-84000</v>
      </c>
      <c r="T7" s="126">
        <f ca="1">IF(A7&gt;'Additional Input'!$E$11,"",N7+Q7+R7+S7)</f>
        <v>-84000</v>
      </c>
      <c r="U7" s="367"/>
    </row>
    <row r="8" spans="1:26" ht="14.25" customHeight="1">
      <c r="A8" s="122">
        <f t="shared" si="0"/>
        <v>3</v>
      </c>
      <c r="B8" s="110" t="str">
        <f ca="1">IF(A8&gt;'Additional Input'!$E$11,"",IF('Additional Input'!$N$9="","",'Additional Input'!$N$9+Projections!A8)&amp;"/"&amp;IF('Additional Input'!$O$9="","",IF('Additional Input'!$O$9=0,"",'Additional Input'!$O$9+Projections!A8)))</f>
        <v>63/63</v>
      </c>
      <c r="C8" s="122">
        <f ca="1">IF(A8&gt;'Additional Input'!$E$11,"",+C7+1)</f>
        <v>2016</v>
      </c>
      <c r="D8" s="159">
        <f ca="1">IF(A8&gt;'Additional Input'!$E$11,"",($D7*(1+'Additional Input'!$F$26))+$N7+$Q7+$R7+$S7+VLOOKUP(A7,Gifts,6)-VLOOKUP(A8,Gifts,6))</f>
        <v>16516257.024</v>
      </c>
      <c r="E8" s="159">
        <f ca="1">IF(A8&gt;'Additional Input'!$E$11,"",E7*(1+'Additional Input'!$F$28))</f>
        <v>0</v>
      </c>
      <c r="F8" s="159">
        <f ca="1">IF(A8&gt;'Additional Input'!$E$11,"",($F7*(1+'Additional Input'!$F$27))-$Q7+IF(('Additional Input'!$K$40)&gt;A7,'Additional Input'!$D$40*(1+IF('Additional Input'!$H$40=TRUE,'Additional Input'!$D$13,0))^A7,0)+IF(('Additional Input'!$K$40)&gt;A7,'Additional Input'!$F$40*(1+IF('Additional Input'!$H$40=TRUE,'Additional Input'!$D$13,0))^A7,0))</f>
        <v>0</v>
      </c>
      <c r="G8" s="646">
        <f ca="1">IF(A8&gt;'Additional Input'!$E$11,"",-VLOOKUP(A8*12,Amortization,2))</f>
        <v>0</v>
      </c>
      <c r="H8" s="159">
        <f ca="1">IF(A8&gt;'Additional Input'!$E$11,"",IF(A8&lt;=Calculator!$F$7,Calculator!$D$7,0)+Calculator!$D$8-IF(A8&gt;3,Calculator!$H$8,0))</f>
        <v>0</v>
      </c>
      <c r="I8" s="159">
        <f ca="1">IF(A8&gt;'Additional Input'!$E$11,"",D8+E8+F8+G8+H8)</f>
        <v>16516257.024</v>
      </c>
      <c r="J8" s="646">
        <f ca="1">IF(A8&gt;'Additional Input'!$E$11,"",VLOOKUP(A8,Gifts,9))</f>
        <v>356702.97600000002</v>
      </c>
      <c r="K8" s="159">
        <f ca="1">IF(A8&gt;'Additional Input'!$E$11,"",IF(Calculator!$D$20=TRUE,Calculator!$I$20,0)+IF(A8&gt;3,Calculator!$H$8,0))</f>
        <v>0</v>
      </c>
      <c r="L8" s="159">
        <f ca="1">IF(A8&gt;'Additional Input'!$E$11,"",J8+K8)</f>
        <v>356702.97600000002</v>
      </c>
      <c r="M8" s="126">
        <f ca="1">IF(A8&gt;'Additional Input'!$E$11,"",(D8*'Additional Input'!$F$26)+(E8*'Additional Input'!$F$28)+(F8*'Additional Input'!$F$27))</f>
        <v>660650.28096</v>
      </c>
      <c r="N8" s="126">
        <f ca="1">IF(A8&gt;'Additional Input'!$E$11,"",IF(('Additional Input'!$K$35)&gt;Projections!A8,'Additional Input'!$D$35*(1+IF('Additional Input'!$H$35=TRUE,'Additional Input'!$D$13,0))^Projections!A8,0)+IF(('Additional Input'!$K$36)&gt;Projections!A8,'Additional Input'!$D$36*(1+IF('Additional Input'!$H$36=TRUE,'Additional Input'!$D$13,0))^Projections!A8,0)-IF(('Additional Input'!$K$40)&gt;A8,'Additional Input'!$D$40*(1+IF('Additional Input'!$H$39=TRUE,'Additional Input'!$D$13,0))^A8,0)+IF(('Additional Input'!$F$37-'Additional Input'!$N$9)&lt;=Projections!A8,'Additional Input'!$D$37*(1+IF('Additional Input'!$H$37=TRUE,'Additional Input'!$D$13,0))^IF('Additional Input'!$K$37=TRUE,Projections!A8,Projections!A8-('Additional Input'!$F$37-'Additional Input'!$N$9)),0)+Adjustments!C8)</f>
        <v>0</v>
      </c>
      <c r="O8" s="823">
        <f ca="1">IF(A8&gt;'Additional Input'!$E$11,"",IF(('Additional Input'!$N$9+Projections!$A8)&gt;=IF('Additional Input'!$K$44=TRUE,71,70),VLOOKUP(('Additional Input'!$N$9+Projections!$A8),UniformTable,2),0))</f>
        <v>0</v>
      </c>
      <c r="P8" s="822">
        <f ca="1">IF(A8&gt;'Additional Input'!$E$11,"",IF($O8=0,0,$F8/$O8))</f>
        <v>0</v>
      </c>
      <c r="Q8" s="178">
        <f ca="1">IF(A8&gt;'Additional Input'!$E$11,"",IF(IF('Additional Input'!$D$44=TRUE,IF($O8=0,0,$F8/$O8),IF('Additional Input'!$F$45-'Additional Input'!$N$9&lt;=Projections!$A8,IF($F8*(1+$F$4)&lt;'Additional Input'!$D$45*IF('Additional Input'!$H$45=TRUE,(1+'Additional Input'!$D$13)^IF('Additional Input'!$K$45=TRUE,$A8,$A8-('Additional Input'!$F$45-'Additional Input'!$N$9)),1),$F8*(1+$F$4),'Additional Input'!$D$45*IF('Additional Input'!$H$45=TRUE,(1+'Additional Input'!$D$13)^IF('Additional Input'!$K$45=TRUE,$A8,$A8-('Additional Input'!$F$45-'Additional Input'!$N$9)),1)),0))&lt;$P8,$P8,IF('Additional Input'!$D$44=TRUE,IF($O8=0,0,$F8/$O8),IF('Additional Input'!$F$45-'Additional Input'!$N$9&lt;=Projections!$A8,IF($F8*(1+$F$4)&lt;'Additional Input'!$D$45*IF('Additional Input'!$H$45=TRUE,(1+'Additional Input'!$D$13)^IF('Additional Input'!$K$45=TRUE,$A8,$A8-('Additional Input'!$F$45-'Additional Input'!$N$9)),1),$F8*(1+$F$4),'Additional Input'!$D$45*IF('Additional Input'!$H$45=TRUE,(1+'Additional Input'!$D$13)^IF('Additional Input'!$K$45=TRUE,$A8,$A8-('Additional Input'!$F$45-'Additional Input'!$N$9)),1)),0)))+Adjustments!D8)</f>
        <v>0</v>
      </c>
      <c r="R8" s="571">
        <f ca="1">IF(A8&gt;'Additional Input'!$E$11,"",-((N8+Q8)*'Additional Input'!$D$12)+Adjustments!E8)</f>
        <v>0</v>
      </c>
      <c r="S8" s="571">
        <f ca="1">IF(A8&gt;'Additional Input'!$E$11,"",IF($A8&gt;='Additional Input'!$D$19,-'Additional Input'!$D$18*(1+IF('Additional Input'!$F$18=TRUE,'Additional Input'!$D$13,0))^Projections!A8,0)-TaxTables!D34+Adjustments!F8-VLOOKUP(A8,Gifts,6))</f>
        <v>-84000</v>
      </c>
      <c r="T8" s="126">
        <f ca="1">IF(A8&gt;'Additional Input'!$E$11,"",N8+Q8+R8+S8)</f>
        <v>-84000</v>
      </c>
      <c r="U8" s="367"/>
    </row>
    <row r="9" spans="1:26" ht="14.25" customHeight="1">
      <c r="A9" s="122">
        <f t="shared" si="0"/>
        <v>4</v>
      </c>
      <c r="B9" s="110" t="str">
        <f ca="1">IF(A9&gt;'Additional Input'!$E$11,"",IF('Additional Input'!$N$9="","",'Additional Input'!$N$9+Projections!A9)&amp;"/"&amp;IF('Additional Input'!$O$9="","",IF('Additional Input'!$O$9=0,"",'Additional Input'!$O$9+Projections!A9)))</f>
        <v>64/64</v>
      </c>
      <c r="C9" s="122">
        <f ca="1">IF(A9&gt;'Additional Input'!$E$11,"",+C8+1)</f>
        <v>2017</v>
      </c>
      <c r="D9" s="159">
        <f ca="1">IF(A9&gt;'Additional Input'!$E$11,"",($D8*(1+'Additional Input'!$F$26))+$N8+$Q8+$R8+$S8+VLOOKUP(A8,Gifts,6)-VLOOKUP(A9,Gifts,6))</f>
        <v>17086907.304960001</v>
      </c>
      <c r="E9" s="159">
        <f ca="1">IF(A9&gt;'Additional Input'!$E$11,"",E8*(1+'Additional Input'!$F$28))</f>
        <v>0</v>
      </c>
      <c r="F9" s="159">
        <f ca="1">IF(A9&gt;'Additional Input'!$E$11,"",($F8*(1+'Additional Input'!$F$27))-$Q8+IF(('Additional Input'!$K$40)&gt;A8,'Additional Input'!$D$40*(1+IF('Additional Input'!$H$40=TRUE,'Additional Input'!$D$13,0))^A8,0)+IF(('Additional Input'!$K$40)&gt;A8,'Additional Input'!$F$40*(1+IF('Additional Input'!$H$40=TRUE,'Additional Input'!$D$13,0))^A8,0))</f>
        <v>0</v>
      </c>
      <c r="G9" s="646">
        <f ca="1">IF(A9&gt;'Additional Input'!$E$11,"",-VLOOKUP(A9*12,Amortization,2))</f>
        <v>0</v>
      </c>
      <c r="H9" s="159">
        <f ca="1">IF(A9&gt;'Additional Input'!$E$11,"",IF(A9&lt;=Calculator!$F$7,Calculator!$D$7,0)+Calculator!$D$8-IF(A9&gt;3,Calculator!$H$8,0))</f>
        <v>0</v>
      </c>
      <c r="I9" s="159">
        <f ca="1">IF(A9&gt;'Additional Input'!$E$11,"",D9+E9+F9+G9+H9)</f>
        <v>17086907.304960001</v>
      </c>
      <c r="J9" s="646">
        <f ca="1">IF(A9&gt;'Additional Input'!$E$11,"",VLOOKUP(A9,Gifts,9))</f>
        <v>460971.09504000004</v>
      </c>
      <c r="K9" s="159">
        <f ca="1">IF(A9&gt;'Additional Input'!$E$11,"",IF(Calculator!$D$20=TRUE,Calculator!$I$20,0)+IF(A9&gt;3,Calculator!$H$8,0))</f>
        <v>0</v>
      </c>
      <c r="L9" s="159">
        <f ca="1">IF(A9&gt;'Additional Input'!$E$11,"",J9+K9)</f>
        <v>460971.09504000004</v>
      </c>
      <c r="M9" s="126">
        <f ca="1">IF(A9&gt;'Additional Input'!$E$11,"",(D9*'Additional Input'!$F$26)+(E9*'Additional Input'!$F$28)+(F9*'Additional Input'!$F$27))</f>
        <v>683476.29219840001</v>
      </c>
      <c r="N9" s="126">
        <f ca="1">IF(A9&gt;'Additional Input'!$E$11,"",IF(('Additional Input'!$K$35)&gt;Projections!A9,'Additional Input'!$D$35*(1+IF('Additional Input'!$H$35=TRUE,'Additional Input'!$D$13,0))^Projections!A9,0)+IF(('Additional Input'!$K$36)&gt;Projections!A9,'Additional Input'!$D$36*(1+IF('Additional Input'!$H$36=TRUE,'Additional Input'!$D$13,0))^Projections!A9,0)-IF(('Additional Input'!$K$40)&gt;A9,'Additional Input'!$D$40*(1+IF('Additional Input'!$H$39=TRUE,'Additional Input'!$D$13,0))^A9,0)+IF(('Additional Input'!$F$37-'Additional Input'!$N$9)&lt;=Projections!A9,'Additional Input'!$D$37*(1+IF('Additional Input'!$H$37=TRUE,'Additional Input'!$D$13,0))^IF('Additional Input'!$K$37=TRUE,Projections!A9,Projections!A9-('Additional Input'!$F$37-'Additional Input'!$N$9)),0)+Adjustments!C9)</f>
        <v>0</v>
      </c>
      <c r="O9" s="823">
        <f ca="1">IF(A9&gt;'Additional Input'!$E$11,"",IF(('Additional Input'!$N$9+Projections!$A9)&gt;=IF('Additional Input'!$K$44=TRUE,71,70),VLOOKUP(('Additional Input'!$N$9+Projections!$A9),UniformTable,2),0))</f>
        <v>0</v>
      </c>
      <c r="P9" s="822">
        <f ca="1">IF(A9&gt;'Additional Input'!$E$11,"",IF($O9=0,0,$F9/$O9))</f>
        <v>0</v>
      </c>
      <c r="Q9" s="178">
        <f ca="1">IF(A9&gt;'Additional Input'!$E$11,"",IF(IF('Additional Input'!$D$44=TRUE,IF($O9=0,0,$F9/$O9),IF('Additional Input'!$F$45-'Additional Input'!$N$9&lt;=Projections!$A9,IF($F9*(1+$F$4)&lt;'Additional Input'!$D$45*IF('Additional Input'!$H$45=TRUE,(1+'Additional Input'!$D$13)^IF('Additional Input'!$K$45=TRUE,$A9,$A9-('Additional Input'!$F$45-'Additional Input'!$N$9)),1),$F9*(1+$F$4),'Additional Input'!$D$45*IF('Additional Input'!$H$45=TRUE,(1+'Additional Input'!$D$13)^IF('Additional Input'!$K$45=TRUE,$A9,$A9-('Additional Input'!$F$45-'Additional Input'!$N$9)),1)),0))&lt;$P9,$P9,IF('Additional Input'!$D$44=TRUE,IF($O9=0,0,$F9/$O9),IF('Additional Input'!$F$45-'Additional Input'!$N$9&lt;=Projections!$A9,IF($F9*(1+$F$4)&lt;'Additional Input'!$D$45*IF('Additional Input'!$H$45=TRUE,(1+'Additional Input'!$D$13)^IF('Additional Input'!$K$45=TRUE,$A9,$A9-('Additional Input'!$F$45-'Additional Input'!$N$9)),1),$F9*(1+$F$4),'Additional Input'!$D$45*IF('Additional Input'!$H$45=TRUE,(1+'Additional Input'!$D$13)^IF('Additional Input'!$K$45=TRUE,$A9,$A9-('Additional Input'!$F$45-'Additional Input'!$N$9)),1)),0)))+Adjustments!D9)</f>
        <v>0</v>
      </c>
      <c r="R9" s="571">
        <f ca="1">IF(A9&gt;'Additional Input'!$E$11,"",-((N9+Q9)*'Additional Input'!$D$12)+Adjustments!E9)</f>
        <v>0</v>
      </c>
      <c r="S9" s="571">
        <f ca="1">IF(A9&gt;'Additional Input'!$E$11,"",IF($A9&gt;='Additional Input'!$D$19,-'Additional Input'!$D$18*(1+IF('Additional Input'!$F$18=TRUE,'Additional Input'!$D$13,0))^Projections!A9,0)-TaxTables!D35+Adjustments!F9-VLOOKUP(A9,Gifts,6))</f>
        <v>-90000</v>
      </c>
      <c r="T9" s="126">
        <f ca="1">IF(A9&gt;'Additional Input'!$E$11,"",N9+Q9+R9+S9)</f>
        <v>-90000</v>
      </c>
      <c r="U9" s="367"/>
    </row>
    <row r="10" spans="1:26" s="119" customFormat="1" ht="14.25" customHeight="1">
      <c r="A10" s="650">
        <f t="shared" si="0"/>
        <v>5</v>
      </c>
      <c r="B10" s="651" t="str">
        <f ca="1">IF(A10&gt;'Additional Input'!$E$11,"",IF('Additional Input'!$N$9="","",'Additional Input'!$N$9+Projections!A10)&amp;"/"&amp;IF('Additional Input'!$O$9="","",IF('Additional Input'!$O$9=0,"",'Additional Input'!$O$9+Projections!A10)))</f>
        <v>65/65</v>
      </c>
      <c r="C10" s="650">
        <f ca="1">IF(A10&gt;'Additional Input'!$E$11,"",+C9+1)</f>
        <v>2018</v>
      </c>
      <c r="D10" s="652">
        <f ca="1">IF(A10&gt;'Additional Input'!$E$11,"",($D9*(1+'Additional Input'!$F$26))+$N9+$Q9+$R9+$S9+VLOOKUP(A9,Gifts,6)-VLOOKUP(A10,Gifts,6))</f>
        <v>17680383.597158402</v>
      </c>
      <c r="E10" s="653">
        <f ca="1">IF(A10&gt;'Additional Input'!$E$11,"",E9*(1+'Additional Input'!$F$28))</f>
        <v>0</v>
      </c>
      <c r="F10" s="653">
        <f ca="1">IF(A10&gt;'Additional Input'!$E$11,"",($F9*(1+'Additional Input'!$F$27))-$Q9+IF(('Additional Input'!$K$40)&gt;A9,'Additional Input'!$D$40*(1+IF('Additional Input'!$H$40=TRUE,'Additional Input'!$D$13,0))^A9,0)+IF(('Additional Input'!$K$40)&gt;A9,'Additional Input'!$F$40*(1+IF('Additional Input'!$H$40=TRUE,'Additional Input'!$D$13,0))^A9,0))</f>
        <v>0</v>
      </c>
      <c r="G10" s="853">
        <f ca="1">IF(A10&gt;'Additional Input'!$E$11,"",-VLOOKUP(A10*12,Amortization,2))</f>
        <v>0</v>
      </c>
      <c r="H10" s="652">
        <f ca="1">IF(A10&gt;'Additional Input'!$E$11,"",IF(A10&lt;=Calculator!$F$7,Calculator!$D$7,0)+Calculator!$D$8-IF(A10&gt;3,Calculator!$H$8,0))</f>
        <v>0</v>
      </c>
      <c r="I10" s="652">
        <f ca="1">IF(A10&gt;'Additional Input'!$E$11,"",D10+E10+F10+G10+H10)</f>
        <v>17680383.597158402</v>
      </c>
      <c r="J10" s="649">
        <f ca="1">IF(A10&gt;'Additional Input'!$E$11,"",VLOOKUP(A10,Gifts,9))</f>
        <v>569409.93884160009</v>
      </c>
      <c r="K10" s="652">
        <f ca="1">IF(A10&gt;'Additional Input'!$E$11,"",IF(Calculator!$D$20=TRUE,Calculator!$I$20,0)+IF(A10&gt;3,Calculator!$H$8,0))</f>
        <v>0</v>
      </c>
      <c r="L10" s="652">
        <f ca="1">IF(A10&gt;'Additional Input'!$E$11,"",J10+K10)</f>
        <v>569409.93884160009</v>
      </c>
      <c r="M10" s="654">
        <f ca="1">IF(A10&gt;'Additional Input'!$E$11,"",(D10*'Additional Input'!$F$26)+(E10*'Additional Input'!$F$28)+(F10*'Additional Input'!$F$27))</f>
        <v>707215.34388633608</v>
      </c>
      <c r="N10" s="655">
        <f ca="1">IF(A10&gt;'Additional Input'!$E$11,"",IF(('Additional Input'!$K$35)&gt;Projections!A10,'Additional Input'!$D$35*(1+IF('Additional Input'!$H$35=TRUE,'Additional Input'!$D$13,0))^Projections!A10,0)+IF(('Additional Input'!$K$36)&gt;Projections!A10,'Additional Input'!$D$36*(1+IF('Additional Input'!$H$36=TRUE,'Additional Input'!$D$13,0))^Projections!A10,0)-IF(('Additional Input'!$K$40)&gt;A10,'Additional Input'!$D$40*(1+IF('Additional Input'!$H$39=TRUE,'Additional Input'!$D$13,0))^A10,0)+IF(('Additional Input'!$F$37-'Additional Input'!$N$9)&lt;=Projections!A10,'Additional Input'!$D$37*(1+IF('Additional Input'!$H$37=TRUE,'Additional Input'!$D$13,0))^IF('Additional Input'!$K$37=TRUE,Projections!A10,Projections!A10-('Additional Input'!$F$37-'Additional Input'!$N$9)),0)+Adjustments!C10)</f>
        <v>0</v>
      </c>
      <c r="O10" s="824">
        <f ca="1">IF(A10&gt;'Additional Input'!$E$11,"",IF(('Additional Input'!$N$9+Projections!$A10)&gt;=IF('Additional Input'!$K$44=TRUE,71,70),VLOOKUP(('Additional Input'!$N$9+Projections!$A10),UniformTable,2),0))</f>
        <v>0</v>
      </c>
      <c r="P10" s="825">
        <f ca="1">IF(A10&gt;'Additional Input'!$E$11,"",IF($O10=0,0,$F10/$O10))</f>
        <v>0</v>
      </c>
      <c r="Q10" s="655">
        <f ca="1">IF(A10&gt;'Additional Input'!$E$11,"",IF(IF('Additional Input'!$D$44=TRUE,IF($O10=0,0,$F10/$O10),IF('Additional Input'!$F$45-'Additional Input'!$N$9&lt;=Projections!$A10,IF($F10*(1+$F$4)&lt;'Additional Input'!$D$45*IF('Additional Input'!$H$45=TRUE,(1+'Additional Input'!$D$13)^IF('Additional Input'!$K$45=TRUE,$A10,$A10-('Additional Input'!$F$45-'Additional Input'!$N$9)),1),$F10*(1+$F$4),'Additional Input'!$D$45*IF('Additional Input'!$H$45=TRUE,(1+'Additional Input'!$D$13)^IF('Additional Input'!$K$45=TRUE,$A10,$A10-('Additional Input'!$F$45-'Additional Input'!$N$9)),1)),0))&lt;$P10,$P10,IF('Additional Input'!$D$44=TRUE,IF($O10=0,0,$F10/$O10),IF('Additional Input'!$F$45-'Additional Input'!$N$9&lt;=Projections!$A10,IF($F10*(1+$F$4)&lt;'Additional Input'!$D$45*IF('Additional Input'!$H$45=TRUE,(1+'Additional Input'!$D$13)^IF('Additional Input'!$K$45=TRUE,$A10,$A10-('Additional Input'!$F$45-'Additional Input'!$N$9)),1),$F10*(1+$F$4),'Additional Input'!$D$45*IF('Additional Input'!$H$45=TRUE,(1+'Additional Input'!$D$13)^IF('Additional Input'!$K$45=TRUE,$A10,$A10-('Additional Input'!$F$45-'Additional Input'!$N$9)),1)),0)))+Adjustments!D10)</f>
        <v>0</v>
      </c>
      <c r="R10" s="656">
        <f ca="1">IF(A10&gt;'Additional Input'!$E$11,"",-((N10+Q10)*'Additional Input'!$D$12)+Adjustments!E10)</f>
        <v>0</v>
      </c>
      <c r="S10" s="656">
        <f ca="1">IF(A10&gt;'Additional Input'!$E$11,"",IF($A10&gt;='Additional Input'!$D$19,-'Additional Input'!$D$18*(1+IF('Additional Input'!$F$18=TRUE,'Additional Input'!$D$13,0))^Projections!A10,0)-TaxTables!D36+Adjustments!F10-VLOOKUP(A10,Gifts,6))</f>
        <v>-90000</v>
      </c>
      <c r="T10" s="654">
        <f ca="1">IF(A10&gt;'Additional Input'!$E$11,"",N10+Q10+R10+S10)</f>
        <v>-90000</v>
      </c>
      <c r="U10" s="637"/>
    </row>
    <row r="11" spans="1:26" ht="14.25" customHeight="1">
      <c r="A11" s="122">
        <f t="shared" si="0"/>
        <v>6</v>
      </c>
      <c r="B11" s="110" t="str">
        <f ca="1">IF(A11&gt;'Additional Input'!$E$11,"",IF('Additional Input'!$N$9="","",'Additional Input'!$N$9+Projections!A11)&amp;"/"&amp;IF('Additional Input'!$O$9="","",IF('Additional Input'!$O$9=0,"",'Additional Input'!$O$9+Projections!A11)))</f>
        <v>66/66</v>
      </c>
      <c r="C11" s="122">
        <f ca="1">IF(A11&gt;'Additional Input'!$E$11,"",+C10+1)</f>
        <v>2019</v>
      </c>
      <c r="D11" s="159">
        <f ca="1">IF(A11&gt;'Additional Input'!$E$11,"",($D10*(1+'Additional Input'!$F$26))+$N10+$Q10+$R10+$S10+VLOOKUP(A10,Gifts,6)-VLOOKUP(A11,Gifts,6))</f>
        <v>18297598.94104474</v>
      </c>
      <c r="E11" s="159">
        <f ca="1">IF(A11&gt;'Additional Input'!$E$11,"",E10*(1+'Additional Input'!$F$28))</f>
        <v>0</v>
      </c>
      <c r="F11" s="159">
        <f ca="1">IF(A11&gt;'Additional Input'!$E$11,"",($F10*(1+'Additional Input'!$F$27))-$Q10+IF(('Additional Input'!$K$40)&gt;A10,'Additional Input'!$D$40*(1+IF('Additional Input'!$H$40=TRUE,'Additional Input'!$D$13,0))^A10,0)+IF(('Additional Input'!$K$40)&gt;A10,'Additional Input'!$F$40*(1+IF('Additional Input'!$H$40=TRUE,'Additional Input'!$D$13,0))^A10,0))</f>
        <v>0</v>
      </c>
      <c r="G11" s="646">
        <f ca="1">IF(A11&gt;'Additional Input'!$E$11,"",-VLOOKUP(A11*12,Amortization,2))</f>
        <v>0</v>
      </c>
      <c r="H11" s="159">
        <f ca="1">IF(A11&gt;'Additional Input'!$E$11,"",IF(A11&lt;=Calculator!$F$7,Calculator!$D$7,0)+Calculator!$D$8-IF(A11&gt;3,Calculator!$H$8,0))</f>
        <v>0</v>
      </c>
      <c r="I11" s="159">
        <f ca="1">IF(A11&gt;'Additional Input'!$E$11,"",D11+E11+F11+G11+H11)</f>
        <v>18297598.94104474</v>
      </c>
      <c r="J11" s="646">
        <f ca="1">IF(A11&gt;'Additional Input'!$E$11,"",VLOOKUP(A11,Gifts,9))</f>
        <v>682186.33639526414</v>
      </c>
      <c r="K11" s="159">
        <f ca="1">IF(A11&gt;'Additional Input'!$E$11,"",IF(Calculator!$D$20=TRUE,Calculator!$I$20,0)+IF(A11&gt;3,Calculator!$H$8,0))</f>
        <v>0</v>
      </c>
      <c r="L11" s="159">
        <f ca="1">IF(A11&gt;'Additional Input'!$E$11,"",J11+K11)</f>
        <v>682186.33639526414</v>
      </c>
      <c r="M11" s="126">
        <f ca="1">IF(A11&gt;'Additional Input'!$E$11,"",(D11*'Additional Input'!$F$26)+(E11*'Additional Input'!$F$28)+(F11*'Additional Input'!$F$27))</f>
        <v>731903.95764178957</v>
      </c>
      <c r="N11" s="126">
        <f ca="1">IF(A11&gt;'Additional Input'!$E$11,"",IF(('Additional Input'!$K$35)&gt;Projections!A11,'Additional Input'!$D$35*(1+IF('Additional Input'!$H$35=TRUE,'Additional Input'!$D$13,0))^Projections!A11,0)+IF(('Additional Input'!$K$36)&gt;Projections!A11,'Additional Input'!$D$36*(1+IF('Additional Input'!$H$36=TRUE,'Additional Input'!$D$13,0))^Projections!A11,0)-IF(('Additional Input'!$K$40)&gt;A11,'Additional Input'!$D$40*(1+IF('Additional Input'!$H$39=TRUE,'Additional Input'!$D$13,0))^A11,0)+IF(('Additional Input'!$F$37-'Additional Input'!$N$9)&lt;=Projections!A11,'Additional Input'!$D$37*(1+IF('Additional Input'!$H$37=TRUE,'Additional Input'!$D$13,0))^IF('Additional Input'!$K$37=TRUE,Projections!A11,Projections!A11-('Additional Input'!$F$37-'Additional Input'!$N$9)),0)+Adjustments!C11)</f>
        <v>0</v>
      </c>
      <c r="O11" s="823">
        <f ca="1">IF(A11&gt;'Additional Input'!$E$11,"",IF(('Additional Input'!$N$9+Projections!$A11)&gt;=IF('Additional Input'!$K$44=TRUE,71,70),VLOOKUP(('Additional Input'!$N$9+Projections!$A11),UniformTable,2),0))</f>
        <v>0</v>
      </c>
      <c r="P11" s="822">
        <f ca="1">IF(A11&gt;'Additional Input'!$E$11,"",IF($O11=0,0,$F11/$O11))</f>
        <v>0</v>
      </c>
      <c r="Q11" s="178">
        <f ca="1">IF(A11&gt;'Additional Input'!$E$11,"",IF(IF('Additional Input'!$D$44=TRUE,IF($O11=0,0,$F11/$O11),IF('Additional Input'!$F$45-'Additional Input'!$N$9&lt;=Projections!$A11,IF($F11*(1+$F$4)&lt;'Additional Input'!$D$45*IF('Additional Input'!$H$45=TRUE,(1+'Additional Input'!$D$13)^IF('Additional Input'!$K$45=TRUE,$A11,$A11-('Additional Input'!$F$45-'Additional Input'!$N$9)),1),$F11*(1+$F$4),'Additional Input'!$D$45*IF('Additional Input'!$H$45=TRUE,(1+'Additional Input'!$D$13)^IF('Additional Input'!$K$45=TRUE,$A11,$A11-('Additional Input'!$F$45-'Additional Input'!$N$9)),1)),0))&lt;$P11,$P11,IF('Additional Input'!$D$44=TRUE,IF($O11=0,0,$F11/$O11),IF('Additional Input'!$F$45-'Additional Input'!$N$9&lt;=Projections!$A11,IF($F11*(1+$F$4)&lt;'Additional Input'!$D$45*IF('Additional Input'!$H$45=TRUE,(1+'Additional Input'!$D$13)^IF('Additional Input'!$K$45=TRUE,$A11,$A11-('Additional Input'!$F$45-'Additional Input'!$N$9)),1),$F11*(1+$F$4),'Additional Input'!$D$45*IF('Additional Input'!$H$45=TRUE,(1+'Additional Input'!$D$13)^IF('Additional Input'!$K$45=TRUE,$A11,$A11-('Additional Input'!$F$45-'Additional Input'!$N$9)),1)),0)))+Adjustments!D11)</f>
        <v>0</v>
      </c>
      <c r="R11" s="571">
        <f ca="1">IF(A11&gt;'Additional Input'!$E$11,"",-((N11+Q11)*'Additional Input'!$D$12)+Adjustments!E11)</f>
        <v>0</v>
      </c>
      <c r="S11" s="571">
        <f ca="1">IF(A11&gt;'Additional Input'!$E$11,"",IF($A11&gt;='Additional Input'!$D$19,-'Additional Input'!$D$18*(1+IF('Additional Input'!$F$18=TRUE,'Additional Input'!$D$13,0))^Projections!A11,0)-TaxTables!D37+Adjustments!F11-VLOOKUP(A11,Gifts,6))</f>
        <v>-90000</v>
      </c>
      <c r="T11" s="126">
        <f ca="1">IF(A11&gt;'Additional Input'!$E$11,"",N11+Q11+R11+S11)</f>
        <v>-90000</v>
      </c>
      <c r="U11" s="367"/>
    </row>
    <row r="12" spans="1:26" ht="14.25" customHeight="1">
      <c r="A12" s="122">
        <f t="shared" si="0"/>
        <v>7</v>
      </c>
      <c r="B12" s="110" t="str">
        <f ca="1">IF(A12&gt;'Additional Input'!$E$11,"",IF('Additional Input'!$N$9="","",'Additional Input'!$N$9+Projections!A12)&amp;"/"&amp;IF('Additional Input'!$O$9="","",IF('Additional Input'!$O$9=0,"",'Additional Input'!$O$9+Projections!A12)))</f>
        <v>67/67</v>
      </c>
      <c r="C12" s="122">
        <f ca="1">IF(A12&gt;'Additional Input'!$E$11,"",+C11+1)</f>
        <v>2020</v>
      </c>
      <c r="D12" s="159">
        <f ca="1">IF(A12&gt;'Additional Input'!$E$11,"",($D11*(1+'Additional Input'!$F$26))+$N11+$Q11+$R11+$S11+VLOOKUP(A11,Gifts,6)-VLOOKUP(A12,Gifts,6))</f>
        <v>18933502.898686532</v>
      </c>
      <c r="E12" s="159">
        <f ca="1">IF(A12&gt;'Additional Input'!$E$11,"",E11*(1+'Additional Input'!$F$28))</f>
        <v>0</v>
      </c>
      <c r="F12" s="159">
        <f ca="1">IF(A12&gt;'Additional Input'!$E$11,"",($F11*(1+'Additional Input'!$F$27))-$Q11+IF(('Additional Input'!$K$40)&gt;A11,'Additional Input'!$D$40*(1+IF('Additional Input'!$H$40=TRUE,'Additional Input'!$D$13,0))^A11,0)+IF(('Additional Input'!$K$40)&gt;A11,'Additional Input'!$F$40*(1+IF('Additional Input'!$H$40=TRUE,'Additional Input'!$D$13,0))^A11,0))</f>
        <v>0</v>
      </c>
      <c r="G12" s="646">
        <f ca="1">IF(A12&gt;'Additional Input'!$E$11,"",-VLOOKUP(A12*12,Amortization,2))</f>
        <v>0</v>
      </c>
      <c r="H12" s="159">
        <f ca="1">IF(A12&gt;'Additional Input'!$E$11,"",IF(A12&lt;=Calculator!$F$7,Calculator!$D$7,0)+Calculator!$D$8-IF(A12&gt;3,Calculator!$H$8,0))</f>
        <v>0</v>
      </c>
      <c r="I12" s="159">
        <f ca="1">IF(A12&gt;'Additional Input'!$E$11,"",D12+E12+F12+G12+H12)</f>
        <v>18933502.898686532</v>
      </c>
      <c r="J12" s="646">
        <f ca="1">IF(A12&gt;'Additional Input'!$E$11,"",VLOOKUP(A12,Gifts,9))</f>
        <v>805473.78985107469</v>
      </c>
      <c r="K12" s="159">
        <f ca="1">IF(A12&gt;'Additional Input'!$E$11,"",IF(Calculator!$D$20=TRUE,Calculator!$I$20,0)+IF(A12&gt;3,Calculator!$H$8,0))</f>
        <v>0</v>
      </c>
      <c r="L12" s="159">
        <f ca="1">IF(A12&gt;'Additional Input'!$E$11,"",J12+K12)</f>
        <v>805473.78985107469</v>
      </c>
      <c r="M12" s="126">
        <f ca="1">IF(A12&gt;'Additional Input'!$E$11,"",(D12*'Additional Input'!$F$26)+(E12*'Additional Input'!$F$28)+(F12*'Additional Input'!$F$27))</f>
        <v>757340.11594746134</v>
      </c>
      <c r="N12" s="126">
        <f ca="1">IF(A12&gt;'Additional Input'!$E$11,"",IF(('Additional Input'!$K$35)&gt;Projections!A12,'Additional Input'!$D$35*(1+IF('Additional Input'!$H$35=TRUE,'Additional Input'!$D$13,0))^Projections!A12,0)+IF(('Additional Input'!$K$36)&gt;Projections!A12,'Additional Input'!$D$36*(1+IF('Additional Input'!$H$36=TRUE,'Additional Input'!$D$13,0))^Projections!A12,0)-IF(('Additional Input'!$K$40)&gt;A12,'Additional Input'!$D$40*(1+IF('Additional Input'!$H$39=TRUE,'Additional Input'!$D$13,0))^A12,0)+IF(('Additional Input'!$F$37-'Additional Input'!$N$9)&lt;=Projections!A12,'Additional Input'!$D$37*(1+IF('Additional Input'!$H$37=TRUE,'Additional Input'!$D$13,0))^IF('Additional Input'!$K$37=TRUE,Projections!A12,Projections!A12-('Additional Input'!$F$37-'Additional Input'!$N$9)),0)+Adjustments!C12)</f>
        <v>0</v>
      </c>
      <c r="O12" s="823">
        <f ca="1">IF(A12&gt;'Additional Input'!$E$11,"",IF(('Additional Input'!$N$9+Projections!$A12)&gt;=IF('Additional Input'!$K$44=TRUE,71,70),VLOOKUP(('Additional Input'!$N$9+Projections!$A12),UniformTable,2),0))</f>
        <v>0</v>
      </c>
      <c r="P12" s="822">
        <f ca="1">IF(A12&gt;'Additional Input'!$E$11,"",IF($O12=0,0,$F12/$O12))</f>
        <v>0</v>
      </c>
      <c r="Q12" s="178">
        <f ca="1">IF(A12&gt;'Additional Input'!$E$11,"",IF(IF('Additional Input'!$D$44=TRUE,IF($O12=0,0,$F12/$O12),IF('Additional Input'!$F$45-'Additional Input'!$N$9&lt;=Projections!$A12,IF($F12*(1+$F$4)&lt;'Additional Input'!$D$45*IF('Additional Input'!$H$45=TRUE,(1+'Additional Input'!$D$13)^IF('Additional Input'!$K$45=TRUE,$A12,$A12-('Additional Input'!$F$45-'Additional Input'!$N$9)),1),$F12*(1+$F$4),'Additional Input'!$D$45*IF('Additional Input'!$H$45=TRUE,(1+'Additional Input'!$D$13)^IF('Additional Input'!$K$45=TRUE,$A12,$A12-('Additional Input'!$F$45-'Additional Input'!$N$9)),1)),0))&lt;$P12,$P12,IF('Additional Input'!$D$44=TRUE,IF($O12=0,0,$F12/$O12),IF('Additional Input'!$F$45-'Additional Input'!$N$9&lt;=Projections!$A12,IF($F12*(1+$F$4)&lt;'Additional Input'!$D$45*IF('Additional Input'!$H$45=TRUE,(1+'Additional Input'!$D$13)^IF('Additional Input'!$K$45=TRUE,$A12,$A12-('Additional Input'!$F$45-'Additional Input'!$N$9)),1),$F12*(1+$F$4),'Additional Input'!$D$45*IF('Additional Input'!$H$45=TRUE,(1+'Additional Input'!$D$13)^IF('Additional Input'!$K$45=TRUE,$A12,$A12-('Additional Input'!$F$45-'Additional Input'!$N$9)),1)),0)))+Adjustments!D12)</f>
        <v>0</v>
      </c>
      <c r="R12" s="571">
        <f ca="1">IF(A12&gt;'Additional Input'!$E$11,"",-((N12+Q12)*'Additional Input'!$D$12)+Adjustments!E12)</f>
        <v>0</v>
      </c>
      <c r="S12" s="571">
        <f ca="1">IF(A12&gt;'Additional Input'!$E$11,"",IF($A12&gt;='Additional Input'!$D$19,-'Additional Input'!$D$18*(1+IF('Additional Input'!$F$18=TRUE,'Additional Input'!$D$13,0))^Projections!A12,0)-TaxTables!D38+Adjustments!F12-VLOOKUP(A12,Gifts,6))</f>
        <v>-96000</v>
      </c>
      <c r="T12" s="126">
        <f ca="1">IF(A12&gt;'Additional Input'!$E$11,"",N12+Q12+R12+S12)</f>
        <v>-96000</v>
      </c>
      <c r="U12" s="367"/>
    </row>
    <row r="13" spans="1:26" ht="14.25" customHeight="1">
      <c r="A13" s="122">
        <f t="shared" si="0"/>
        <v>8</v>
      </c>
      <c r="B13" s="110" t="str">
        <f ca="1">IF(A13&gt;'Additional Input'!$E$11,"",IF('Additional Input'!$N$9="","",'Additional Input'!$N$9+Projections!A13)&amp;"/"&amp;IF('Additional Input'!$O$9="","",IF('Additional Input'!$O$9=0,"",'Additional Input'!$O$9+Projections!A13)))</f>
        <v>68/68</v>
      </c>
      <c r="C13" s="122">
        <f ca="1">IF(A13&gt;'Additional Input'!$E$11,"",+C12+1)</f>
        <v>2021</v>
      </c>
      <c r="D13" s="159">
        <f ca="1">IF(A13&gt;'Additional Input'!$E$11,"",($D12*(1+'Additional Input'!$F$26))+$N12+$Q12+$R12+$S12+VLOOKUP(A12,Gifts,6)-VLOOKUP(A13,Gifts,6))</f>
        <v>19594843.014633995</v>
      </c>
      <c r="E13" s="159">
        <f ca="1">IF(A13&gt;'Additional Input'!$E$11,"",E12*(1+'Additional Input'!$F$28))</f>
        <v>0</v>
      </c>
      <c r="F13" s="159">
        <f ca="1">IF(A13&gt;'Additional Input'!$E$11,"",($F12*(1+'Additional Input'!$F$27))-$Q12+IF(('Additional Input'!$K$40)&gt;A12,'Additional Input'!$D$40*(1+IF('Additional Input'!$H$40=TRUE,'Additional Input'!$D$13,0))^A12,0)+IF(('Additional Input'!$K$40)&gt;A12,'Additional Input'!$F$40*(1+IF('Additional Input'!$H$40=TRUE,'Additional Input'!$D$13,0))^A12,0))</f>
        <v>0</v>
      </c>
      <c r="G13" s="646">
        <f ca="1">IF(A13&gt;'Additional Input'!$E$11,"",-VLOOKUP(A13*12,Amortization,2))</f>
        <v>0</v>
      </c>
      <c r="H13" s="159">
        <f ca="1">IF(A13&gt;'Additional Input'!$E$11,"",IF(A13&lt;=Calculator!$F$7,Calculator!$D$7,0)+Calculator!$D$8-IF(A13&gt;3,Calculator!$H$8,0))</f>
        <v>0</v>
      </c>
      <c r="I13" s="159">
        <f ca="1">IF(A13&gt;'Additional Input'!$E$11,"",D13+E13+F13+G13+H13)</f>
        <v>19594843.014633995</v>
      </c>
      <c r="J13" s="646">
        <f ca="1">IF(A13&gt;'Additional Input'!$E$11,"",VLOOKUP(A13,Gifts,9))</f>
        <v>933692.74144511775</v>
      </c>
      <c r="K13" s="159">
        <f ca="1">IF(A13&gt;'Additional Input'!$E$11,"",IF(Calculator!$D$20=TRUE,Calculator!$I$20,0)+IF(A13&gt;3,Calculator!$H$8,0))</f>
        <v>0</v>
      </c>
      <c r="L13" s="159">
        <f ca="1">IF(A13&gt;'Additional Input'!$E$11,"",J13+K13)</f>
        <v>933692.74144511775</v>
      </c>
      <c r="M13" s="126">
        <f ca="1">IF(A13&gt;'Additional Input'!$E$11,"",(D13*'Additional Input'!$F$26)+(E13*'Additional Input'!$F$28)+(F13*'Additional Input'!$F$27))</f>
        <v>783793.72058535984</v>
      </c>
      <c r="N13" s="126">
        <f ca="1">IF(A13&gt;'Additional Input'!$E$11,"",IF(('Additional Input'!$K$35)&gt;Projections!A13,'Additional Input'!$D$35*(1+IF('Additional Input'!$H$35=TRUE,'Additional Input'!$D$13,0))^Projections!A13,0)+IF(('Additional Input'!$K$36)&gt;Projections!A13,'Additional Input'!$D$36*(1+IF('Additional Input'!$H$36=TRUE,'Additional Input'!$D$13,0))^Projections!A13,0)-IF(('Additional Input'!$K$40)&gt;A13,'Additional Input'!$D$40*(1+IF('Additional Input'!$H$39=TRUE,'Additional Input'!$D$13,0))^A13,0)+IF(('Additional Input'!$F$37-'Additional Input'!$N$9)&lt;=Projections!A13,'Additional Input'!$D$37*(1+IF('Additional Input'!$H$37=TRUE,'Additional Input'!$D$13,0))^IF('Additional Input'!$K$37=TRUE,Projections!A13,Projections!A13-('Additional Input'!$F$37-'Additional Input'!$N$9)),0)+Adjustments!C13)</f>
        <v>0</v>
      </c>
      <c r="O13" s="823">
        <f ca="1">IF(A13&gt;'Additional Input'!$E$11,"",IF(('Additional Input'!$N$9+Projections!$A13)&gt;=IF('Additional Input'!$K$44=TRUE,71,70),VLOOKUP(('Additional Input'!$N$9+Projections!$A13),UniformTable,2),0))</f>
        <v>0</v>
      </c>
      <c r="P13" s="822">
        <f ca="1">IF(A13&gt;'Additional Input'!$E$11,"",IF($O13=0,0,$F13/$O13))</f>
        <v>0</v>
      </c>
      <c r="Q13" s="178">
        <f ca="1">IF(A13&gt;'Additional Input'!$E$11,"",IF(IF('Additional Input'!$D$44=TRUE,IF($O13=0,0,$F13/$O13),IF('Additional Input'!$F$45-'Additional Input'!$N$9&lt;=Projections!$A13,IF($F13*(1+$F$4)&lt;'Additional Input'!$D$45*IF('Additional Input'!$H$45=TRUE,(1+'Additional Input'!$D$13)^IF('Additional Input'!$K$45=TRUE,$A13,$A13-('Additional Input'!$F$45-'Additional Input'!$N$9)),1),$F13*(1+$F$4),'Additional Input'!$D$45*IF('Additional Input'!$H$45=TRUE,(1+'Additional Input'!$D$13)^IF('Additional Input'!$K$45=TRUE,$A13,$A13-('Additional Input'!$F$45-'Additional Input'!$N$9)),1)),0))&lt;$P13,$P13,IF('Additional Input'!$D$44=TRUE,IF($O13=0,0,$F13/$O13),IF('Additional Input'!$F$45-'Additional Input'!$N$9&lt;=Projections!$A13,IF($F13*(1+$F$4)&lt;'Additional Input'!$D$45*IF('Additional Input'!$H$45=TRUE,(1+'Additional Input'!$D$13)^IF('Additional Input'!$K$45=TRUE,$A13,$A13-('Additional Input'!$F$45-'Additional Input'!$N$9)),1),$F13*(1+$F$4),'Additional Input'!$D$45*IF('Additional Input'!$H$45=TRUE,(1+'Additional Input'!$D$13)^IF('Additional Input'!$K$45=TRUE,$A13,$A13-('Additional Input'!$F$45-'Additional Input'!$N$9)),1)),0)))+Adjustments!D13)</f>
        <v>0</v>
      </c>
      <c r="R13" s="571">
        <f ca="1">IF(A13&gt;'Additional Input'!$E$11,"",-((N13+Q13)*'Additional Input'!$D$12)+Adjustments!E13)</f>
        <v>0</v>
      </c>
      <c r="S13" s="571">
        <f ca="1">IF(A13&gt;'Additional Input'!$E$11,"",IF($A13&gt;='Additional Input'!$D$19,-'Additional Input'!$D$18*(1+IF('Additional Input'!$F$18=TRUE,'Additional Input'!$D$13,0))^Projections!A13,0)-TaxTables!D39+Adjustments!F13-VLOOKUP(A13,Gifts,6))</f>
        <v>-96000</v>
      </c>
      <c r="T13" s="126">
        <f ca="1">IF(A13&gt;'Additional Input'!$E$11,"",N13+Q13+R13+S13)</f>
        <v>-96000</v>
      </c>
      <c r="U13" s="367"/>
    </row>
    <row r="14" spans="1:26" ht="14.25" customHeight="1">
      <c r="A14" s="122">
        <f t="shared" si="0"/>
        <v>9</v>
      </c>
      <c r="B14" s="110" t="str">
        <f ca="1">IF(A14&gt;'Additional Input'!$E$11,"",IF('Additional Input'!$N$9="","",'Additional Input'!$N$9+Projections!A14)&amp;"/"&amp;IF('Additional Input'!$O$9="","",IF('Additional Input'!$O$9=0,"",'Additional Input'!$O$9+Projections!A14)))</f>
        <v>69/69</v>
      </c>
      <c r="C14" s="122">
        <f ca="1">IF(A14&gt;'Additional Input'!$E$11,"",+C13+1)</f>
        <v>2022</v>
      </c>
      <c r="D14" s="159">
        <f ca="1">IF(A14&gt;'Additional Input'!$E$11,"",($D13*(1+'Additional Input'!$F$26))+$N13+$Q13+$R13+$S13+VLOOKUP(A13,Gifts,6)-VLOOKUP(A14,Gifts,6))</f>
        <v>20282636.735219356</v>
      </c>
      <c r="E14" s="159">
        <f ca="1">IF(A14&gt;'Additional Input'!$E$11,"",E13*(1+'Additional Input'!$F$28))</f>
        <v>0</v>
      </c>
      <c r="F14" s="159">
        <f ca="1">IF(A14&gt;'Additional Input'!$E$11,"",($F13*(1+'Additional Input'!$F$27))-$Q13+IF(('Additional Input'!$K$40)&gt;A13,'Additional Input'!$D$40*(1+IF('Additional Input'!$H$40=TRUE,'Additional Input'!$D$13,0))^A13,0)+IF(('Additional Input'!$K$40)&gt;A13,'Additional Input'!$F$40*(1+IF('Additional Input'!$H$40=TRUE,'Additional Input'!$D$13,0))^A13,0))</f>
        <v>0</v>
      </c>
      <c r="G14" s="646">
        <f ca="1">IF(A14&gt;'Additional Input'!$E$11,"",-VLOOKUP(A14*12,Amortization,2))</f>
        <v>0</v>
      </c>
      <c r="H14" s="159">
        <f ca="1">IF(A14&gt;'Additional Input'!$E$11,"",IF(A14&lt;=Calculator!$F$7,Calculator!$D$7,0)+Calculator!$D$8-IF(A14&gt;3,Calculator!$H$8,0))</f>
        <v>0</v>
      </c>
      <c r="I14" s="159">
        <f ca="1">IF(A14&gt;'Additional Input'!$E$11,"",D14+E14+F14+G14+H14)</f>
        <v>20282636.735219356</v>
      </c>
      <c r="J14" s="646">
        <f ca="1">IF(A14&gt;'Additional Input'!$E$11,"",VLOOKUP(A14,Gifts,9))</f>
        <v>1067040.4511029224</v>
      </c>
      <c r="K14" s="159">
        <f ca="1">IF(A14&gt;'Additional Input'!$E$11,"",IF(Calculator!$D$20=TRUE,Calculator!$I$20,0)+IF(A14&gt;3,Calculator!$H$8,0))</f>
        <v>0</v>
      </c>
      <c r="L14" s="159">
        <f ca="1">IF(A14&gt;'Additional Input'!$E$11,"",J14+K14)</f>
        <v>1067040.4511029224</v>
      </c>
      <c r="M14" s="126">
        <f ca="1">IF(A14&gt;'Additional Input'!$E$11,"",(D14*'Additional Input'!$F$26)+(E14*'Additional Input'!$F$28)+(F14*'Additional Input'!$F$27))</f>
        <v>811305.46940877428</v>
      </c>
      <c r="N14" s="126">
        <f ca="1">IF(A14&gt;'Additional Input'!$E$11,"",IF(('Additional Input'!$K$35)&gt;Projections!A14,'Additional Input'!$D$35*(1+IF('Additional Input'!$H$35=TRUE,'Additional Input'!$D$13,0))^Projections!A14,0)+IF(('Additional Input'!$K$36)&gt;Projections!A14,'Additional Input'!$D$36*(1+IF('Additional Input'!$H$36=TRUE,'Additional Input'!$D$13,0))^Projections!A14,0)-IF(('Additional Input'!$K$40)&gt;A14,'Additional Input'!$D$40*(1+IF('Additional Input'!$H$39=TRUE,'Additional Input'!$D$13,0))^A14,0)+IF(('Additional Input'!$F$37-'Additional Input'!$N$9)&lt;=Projections!A14,'Additional Input'!$D$37*(1+IF('Additional Input'!$H$37=TRUE,'Additional Input'!$D$13,0))^IF('Additional Input'!$K$37=TRUE,Projections!A14,Projections!A14-('Additional Input'!$F$37-'Additional Input'!$N$9)),0)+Adjustments!C14)</f>
        <v>0</v>
      </c>
      <c r="O14" s="823">
        <f ca="1">IF(A14&gt;'Additional Input'!$E$11,"",IF(('Additional Input'!$N$9+Projections!$A14)&gt;=IF('Additional Input'!$K$44=TRUE,71,70),VLOOKUP(('Additional Input'!$N$9+Projections!$A14),UniformTable,2),0))</f>
        <v>0</v>
      </c>
      <c r="P14" s="822">
        <f ca="1">IF(A14&gt;'Additional Input'!$E$11,"",IF($O14=0,0,$F14/$O14))</f>
        <v>0</v>
      </c>
      <c r="Q14" s="178">
        <f ca="1">IF(A14&gt;'Additional Input'!$E$11,"",IF(IF('Additional Input'!$D$44=TRUE,IF($O14=0,0,$F14/$O14),IF('Additional Input'!$F$45-'Additional Input'!$N$9&lt;=Projections!$A14,IF($F14*(1+$F$4)&lt;'Additional Input'!$D$45*IF('Additional Input'!$H$45=TRUE,(1+'Additional Input'!$D$13)^IF('Additional Input'!$K$45=TRUE,$A14,$A14-('Additional Input'!$F$45-'Additional Input'!$N$9)),1),$F14*(1+$F$4),'Additional Input'!$D$45*IF('Additional Input'!$H$45=TRUE,(1+'Additional Input'!$D$13)^IF('Additional Input'!$K$45=TRUE,$A14,$A14-('Additional Input'!$F$45-'Additional Input'!$N$9)),1)),0))&lt;$P14,$P14,IF('Additional Input'!$D$44=TRUE,IF($O14=0,0,$F14/$O14),IF('Additional Input'!$F$45-'Additional Input'!$N$9&lt;=Projections!$A14,IF($F14*(1+$F$4)&lt;'Additional Input'!$D$45*IF('Additional Input'!$H$45=TRUE,(1+'Additional Input'!$D$13)^IF('Additional Input'!$K$45=TRUE,$A14,$A14-('Additional Input'!$F$45-'Additional Input'!$N$9)),1),$F14*(1+$F$4),'Additional Input'!$D$45*IF('Additional Input'!$H$45=TRUE,(1+'Additional Input'!$D$13)^IF('Additional Input'!$K$45=TRUE,$A14,$A14-('Additional Input'!$F$45-'Additional Input'!$N$9)),1)),0)))+Adjustments!D14)</f>
        <v>0</v>
      </c>
      <c r="R14" s="571">
        <f ca="1">IF(A14&gt;'Additional Input'!$E$11,"",-((N14+Q14)*'Additional Input'!$D$12)+Adjustments!E14)</f>
        <v>0</v>
      </c>
      <c r="S14" s="571">
        <f ca="1">IF(A14&gt;'Additional Input'!$E$11,"",IF($A14&gt;='Additional Input'!$D$19,-'Additional Input'!$D$18*(1+IF('Additional Input'!$F$18=TRUE,'Additional Input'!$D$13,0))^Projections!A14,0)-TaxTables!D40+Adjustments!F14-VLOOKUP(A14,Gifts,6))</f>
        <v>-96000</v>
      </c>
      <c r="T14" s="126">
        <f ca="1">IF(A14&gt;'Additional Input'!$E$11,"",N14+Q14+R14+S14)</f>
        <v>-96000</v>
      </c>
      <c r="U14" s="367"/>
    </row>
    <row r="15" spans="1:26" s="119" customFormat="1" ht="14.25" customHeight="1">
      <c r="A15" s="650">
        <f t="shared" si="0"/>
        <v>10</v>
      </c>
      <c r="B15" s="651" t="str">
        <f ca="1">IF(A15&gt;'Additional Input'!$E$11,"",IF('Additional Input'!$N$9="","",'Additional Input'!$N$9+Projections!A15)&amp;"/"&amp;IF('Additional Input'!$O$9="","",IF('Additional Input'!$O$9=0,"",'Additional Input'!$O$9+Projections!A15)))</f>
        <v>70/70</v>
      </c>
      <c r="C15" s="650">
        <f ca="1">IF(A15&gt;'Additional Input'!$E$11,"",+C14+1)</f>
        <v>2023</v>
      </c>
      <c r="D15" s="652">
        <f ca="1">IF(A15&gt;'Additional Input'!$E$11,"",($D14*(1+'Additional Input'!$F$26))+$N14+$Q14+$R14+$S14+VLOOKUP(A14,Gifts,6)-VLOOKUP(A15,Gifts,6))</f>
        <v>20991942.204628132</v>
      </c>
      <c r="E15" s="653">
        <f ca="1">IF(A15&gt;'Additional Input'!$E$11,"",E14*(1+'Additional Input'!$F$28))</f>
        <v>0</v>
      </c>
      <c r="F15" s="653">
        <f ca="1">IF(A15&gt;'Additional Input'!$E$11,"",($F14*(1+'Additional Input'!$F$27))-$Q14+IF(('Additional Input'!$K$40)&gt;A14,'Additional Input'!$D$40*(1+IF('Additional Input'!$H$40=TRUE,'Additional Input'!$D$13,0))^A14,0)+IF(('Additional Input'!$K$40)&gt;A14,'Additional Input'!$F$40*(1+IF('Additional Input'!$H$40=TRUE,'Additional Input'!$D$13,0))^A14,0))</f>
        <v>0</v>
      </c>
      <c r="G15" s="853">
        <f ca="1">IF(A15&gt;'Additional Input'!$E$11,"",-VLOOKUP(A15*12,Amortization,2))</f>
        <v>0</v>
      </c>
      <c r="H15" s="652">
        <f ca="1">IF(A15&gt;'Additional Input'!$E$11,"",IF(A15&lt;=Calculator!$F$7,Calculator!$D$7,0)+Calculator!$D$8-IF(A15&gt;3,Calculator!$H$8,0))</f>
        <v>0</v>
      </c>
      <c r="I15" s="652">
        <f ca="1">IF(A15&gt;'Additional Input'!$E$11,"",D15+E15+F15+G15+H15)</f>
        <v>20991942.204628132</v>
      </c>
      <c r="J15" s="649">
        <f ca="1">IF(A15&gt;'Additional Input'!$E$11,"",VLOOKUP(A15,Gifts,9))</f>
        <v>1211722.0691470394</v>
      </c>
      <c r="K15" s="652">
        <f ca="1">IF(A15&gt;'Additional Input'!$E$11,"",IF(Calculator!$D$20=TRUE,Calculator!$I$20,0)+IF(A15&gt;3,Calculator!$H$8,0))</f>
        <v>0</v>
      </c>
      <c r="L15" s="652">
        <f ca="1">IF(A15&gt;'Additional Input'!$E$11,"",J15+K15)</f>
        <v>1211722.0691470394</v>
      </c>
      <c r="M15" s="654">
        <f ca="1">IF(A15&gt;'Additional Input'!$E$11,"",(D15*'Additional Input'!$F$26)+(E15*'Additional Input'!$F$28)+(F15*'Additional Input'!$F$27))</f>
        <v>839677.68818512536</v>
      </c>
      <c r="N15" s="655">
        <f ca="1">IF(A15&gt;'Additional Input'!$E$11,"",IF(('Additional Input'!$K$35)&gt;Projections!A15,'Additional Input'!$D$35*(1+IF('Additional Input'!$H$35=TRUE,'Additional Input'!$D$13,0))^Projections!A15,0)+IF(('Additional Input'!$K$36)&gt;Projections!A15,'Additional Input'!$D$36*(1+IF('Additional Input'!$H$36=TRUE,'Additional Input'!$D$13,0))^Projections!A15,0)-IF(('Additional Input'!$K$40)&gt;A15,'Additional Input'!$D$40*(1+IF('Additional Input'!$H$39=TRUE,'Additional Input'!$D$13,0))^A15,0)+IF(('Additional Input'!$F$37-'Additional Input'!$N$9)&lt;=Projections!A15,'Additional Input'!$D$37*(1+IF('Additional Input'!$H$37=TRUE,'Additional Input'!$D$13,0))^IF('Additional Input'!$K$37=TRUE,Projections!A15,Projections!A15-('Additional Input'!$F$37-'Additional Input'!$N$9)),0)+Adjustments!C15)</f>
        <v>0</v>
      </c>
      <c r="O15" s="824">
        <f ca="1">IF(A15&gt;'Additional Input'!$E$11,"",IF(('Additional Input'!$N$9+Projections!$A15)&gt;=IF('Additional Input'!$K$44=TRUE,71,70),VLOOKUP(('Additional Input'!$N$9+Projections!$A15),UniformTable,2),0))</f>
        <v>27.4</v>
      </c>
      <c r="P15" s="825">
        <f ca="1">IF(A15&gt;'Additional Input'!$E$11,"",IF($O15=0,0,$F15/$O15))</f>
        <v>0</v>
      </c>
      <c r="Q15" s="655">
        <f ca="1">IF(A15&gt;'Additional Input'!$E$11,"",IF(IF('Additional Input'!$D$44=TRUE,IF($O15=0,0,$F15/$O15),IF('Additional Input'!$F$45-'Additional Input'!$N$9&lt;=Projections!$A15,IF($F15*(1+$F$4)&lt;'Additional Input'!$D$45*IF('Additional Input'!$H$45=TRUE,(1+'Additional Input'!$D$13)^IF('Additional Input'!$K$45=TRUE,$A15,$A15-('Additional Input'!$F$45-'Additional Input'!$N$9)),1),$F15*(1+$F$4),'Additional Input'!$D$45*IF('Additional Input'!$H$45=TRUE,(1+'Additional Input'!$D$13)^IF('Additional Input'!$K$45=TRUE,$A15,$A15-('Additional Input'!$F$45-'Additional Input'!$N$9)),1)),0))&lt;$P15,$P15,IF('Additional Input'!$D$44=TRUE,IF($O15=0,0,$F15/$O15),IF('Additional Input'!$F$45-'Additional Input'!$N$9&lt;=Projections!$A15,IF($F15*(1+$F$4)&lt;'Additional Input'!$D$45*IF('Additional Input'!$H$45=TRUE,(1+'Additional Input'!$D$13)^IF('Additional Input'!$K$45=TRUE,$A15,$A15-('Additional Input'!$F$45-'Additional Input'!$N$9)),1),$F15*(1+$F$4),'Additional Input'!$D$45*IF('Additional Input'!$H$45=TRUE,(1+'Additional Input'!$D$13)^IF('Additional Input'!$K$45=TRUE,$A15,$A15-('Additional Input'!$F$45-'Additional Input'!$N$9)),1)),0)))+Adjustments!D15)</f>
        <v>0</v>
      </c>
      <c r="R15" s="656">
        <f ca="1">IF(A15&gt;'Additional Input'!$E$11,"",-((N15+Q15)*'Additional Input'!$D$12)+Adjustments!E15)</f>
        <v>0</v>
      </c>
      <c r="S15" s="656">
        <f ca="1">IF(A15&gt;'Additional Input'!$E$11,"",IF($A15&gt;='Additional Input'!$D$19,-'Additional Input'!$D$18*(1+IF('Additional Input'!$F$18=TRUE,'Additional Input'!$D$13,0))^Projections!A15,0)-TaxTables!D41+Adjustments!F15-VLOOKUP(A15,Gifts,6))</f>
        <v>-102000</v>
      </c>
      <c r="T15" s="654">
        <f ca="1">IF(A15&gt;'Additional Input'!$E$11,"",N15+Q15+R15+S15)</f>
        <v>-102000</v>
      </c>
      <c r="U15" s="637"/>
    </row>
    <row r="16" spans="1:26" ht="14.25" customHeight="1">
      <c r="A16" s="122">
        <f t="shared" si="0"/>
        <v>11</v>
      </c>
      <c r="B16" s="110" t="str">
        <f ca="1">IF(A16&gt;'Additional Input'!$E$11,"",IF('Additional Input'!$N$9="","",'Additional Input'!$N$9+Projections!A16)&amp;"/"&amp;IF('Additional Input'!$O$9="","",IF('Additional Input'!$O$9=0,"",'Additional Input'!$O$9+Projections!A16)))</f>
        <v>71/71</v>
      </c>
      <c r="C16" s="122">
        <f ca="1">IF(A16&gt;'Additional Input'!$E$11,"",+C15+1)</f>
        <v>2024</v>
      </c>
      <c r="D16" s="159">
        <f ca="1">IF(A16&gt;'Additional Input'!$E$11,"",($D15*(1+'Additional Input'!$F$26))+$N15+$Q15+$R15+$S15+VLOOKUP(A15,Gifts,6)-VLOOKUP(A16,Gifts,6))</f>
        <v>21729619.892813258</v>
      </c>
      <c r="E16" s="159">
        <f ca="1">IF(A16&gt;'Additional Input'!$E$11,"",E15*(1+'Additional Input'!$F$28))</f>
        <v>0</v>
      </c>
      <c r="F16" s="159">
        <f ca="1">IF(A16&gt;'Additional Input'!$E$11,"",($F15*(1+'Additional Input'!$F$27))-$Q15+IF(('Additional Input'!$K$40)&gt;A15,'Additional Input'!$D$40*(1+IF('Additional Input'!$H$40=TRUE,'Additional Input'!$D$13,0))^A15,0)+IF(('Additional Input'!$K$40)&gt;A15,'Additional Input'!$F$40*(1+IF('Additional Input'!$H$40=TRUE,'Additional Input'!$D$13,0))^A15,0))</f>
        <v>0</v>
      </c>
      <c r="G16" s="646">
        <f ca="1">IF(A16&gt;'Additional Input'!$E$11,"",-VLOOKUP(A16*12,Amortization,2))</f>
        <v>0</v>
      </c>
      <c r="H16" s="159">
        <f ca="1">IF(A16&gt;'Additional Input'!$E$11,"",IF(A16&lt;=Calculator!$F$7,Calculator!$D$7,0)+Calculator!$D$8-IF(A16&gt;3,Calculator!$H$8,0))</f>
        <v>0</v>
      </c>
      <c r="I16" s="159">
        <f ca="1">IF(A16&gt;'Additional Input'!$E$11,"",D16+E16+F16+G16+H16)</f>
        <v>21729619.892813258</v>
      </c>
      <c r="J16" s="646">
        <f ca="1">IF(A16&gt;'Additional Input'!$E$11,"",VLOOKUP(A16,Gifts,9))</f>
        <v>1362190.9519129212</v>
      </c>
      <c r="K16" s="159">
        <f ca="1">IF(A16&gt;'Additional Input'!$E$11,"",IF(Calculator!$D$20=TRUE,Calculator!$I$20,0)+IF(A16&gt;3,Calculator!$H$8,0))</f>
        <v>0</v>
      </c>
      <c r="L16" s="159">
        <f ca="1">IF(A16&gt;'Additional Input'!$E$11,"",J16+K16)</f>
        <v>1362190.9519129212</v>
      </c>
      <c r="M16" s="126">
        <f ca="1">IF(A16&gt;'Additional Input'!$E$11,"",(D16*'Additional Input'!$F$26)+(E16*'Additional Input'!$F$28)+(F16*'Additional Input'!$F$27))</f>
        <v>869184.79571253038</v>
      </c>
      <c r="N16" s="126">
        <f ca="1">IF(A16&gt;'Additional Input'!$E$11,"",IF(('Additional Input'!$K$35)&gt;Projections!A16,'Additional Input'!$D$35*(1+IF('Additional Input'!$H$35=TRUE,'Additional Input'!$D$13,0))^Projections!A16,0)+IF(('Additional Input'!$K$36)&gt;Projections!A16,'Additional Input'!$D$36*(1+IF('Additional Input'!$H$36=TRUE,'Additional Input'!$D$13,0))^Projections!A16,0)-IF(('Additional Input'!$K$40)&gt;A16,'Additional Input'!$D$40*(1+IF('Additional Input'!$H$39=TRUE,'Additional Input'!$D$13,0))^A16,0)+IF(('Additional Input'!$F$37-'Additional Input'!$N$9)&lt;=Projections!A16,'Additional Input'!$D$37*(1+IF('Additional Input'!$H$37=TRUE,'Additional Input'!$D$13,0))^IF('Additional Input'!$K$37=TRUE,Projections!A16,Projections!A16-('Additional Input'!$F$37-'Additional Input'!$N$9)),0)+Adjustments!C16)</f>
        <v>0</v>
      </c>
      <c r="O16" s="823">
        <f ca="1">IF(A16&gt;'Additional Input'!$E$11,"",IF(('Additional Input'!$N$9+Projections!$A16)&gt;=IF('Additional Input'!$K$44=TRUE,71,70),VLOOKUP(('Additional Input'!$N$9+Projections!$A16),UniformTable,2),0))</f>
        <v>26.5</v>
      </c>
      <c r="P16" s="822">
        <f ca="1">IF(A16&gt;'Additional Input'!$E$11,"",IF($O16=0,0,$F16/$O16))</f>
        <v>0</v>
      </c>
      <c r="Q16" s="178">
        <f ca="1">IF(A16&gt;'Additional Input'!$E$11,"",IF(IF('Additional Input'!$D$44=TRUE,IF($O16=0,0,$F16/$O16),IF('Additional Input'!$F$45-'Additional Input'!$N$9&lt;=Projections!$A16,IF($F16*(1+$F$4)&lt;'Additional Input'!$D$45*IF('Additional Input'!$H$45=TRUE,(1+'Additional Input'!$D$13)^IF('Additional Input'!$K$45=TRUE,$A16,$A16-('Additional Input'!$F$45-'Additional Input'!$N$9)),1),$F16*(1+$F$4),'Additional Input'!$D$45*IF('Additional Input'!$H$45=TRUE,(1+'Additional Input'!$D$13)^IF('Additional Input'!$K$45=TRUE,$A16,$A16-('Additional Input'!$F$45-'Additional Input'!$N$9)),1)),0))&lt;$P16,$P16,IF('Additional Input'!$D$44=TRUE,IF($O16=0,0,$F16/$O16),IF('Additional Input'!$F$45-'Additional Input'!$N$9&lt;=Projections!$A16,IF($F16*(1+$F$4)&lt;'Additional Input'!$D$45*IF('Additional Input'!$H$45=TRUE,(1+'Additional Input'!$D$13)^IF('Additional Input'!$K$45=TRUE,$A16,$A16-('Additional Input'!$F$45-'Additional Input'!$N$9)),1),$F16*(1+$F$4),'Additional Input'!$D$45*IF('Additional Input'!$H$45=TRUE,(1+'Additional Input'!$D$13)^IF('Additional Input'!$K$45=TRUE,$A16,$A16-('Additional Input'!$F$45-'Additional Input'!$N$9)),1)),0)))+Adjustments!D16)</f>
        <v>0</v>
      </c>
      <c r="R16" s="571">
        <f ca="1">IF(A16&gt;'Additional Input'!$E$11,"",-((N16+Q16)*'Additional Input'!$D$12)+Adjustments!E16)</f>
        <v>0</v>
      </c>
      <c r="S16" s="571">
        <f ca="1">IF(A16&gt;'Additional Input'!$E$11,"",IF($A16&gt;='Additional Input'!$D$19,-'Additional Input'!$D$18*(1+IF('Additional Input'!$F$18=TRUE,'Additional Input'!$D$13,0))^Projections!A16,0)-TaxTables!D42+Adjustments!F16-VLOOKUP(A16,Gifts,6))</f>
        <v>-102000</v>
      </c>
      <c r="T16" s="126">
        <f ca="1">IF(A16&gt;'Additional Input'!$E$11,"",N16+Q16+R16+S16)</f>
        <v>-102000</v>
      </c>
      <c r="U16" s="367"/>
    </row>
    <row r="17" spans="1:21" ht="14.25" customHeight="1">
      <c r="A17" s="122">
        <f t="shared" si="0"/>
        <v>12</v>
      </c>
      <c r="B17" s="110" t="str">
        <f ca="1">IF(A17&gt;'Additional Input'!$E$11,"",IF('Additional Input'!$N$9="","",'Additional Input'!$N$9+Projections!A17)&amp;"/"&amp;IF('Additional Input'!$O$9="","",IF('Additional Input'!$O$9=0,"",'Additional Input'!$O$9+Projections!A17)))</f>
        <v>72/72</v>
      </c>
      <c r="C17" s="122">
        <f ca="1">IF(A17&gt;'Additional Input'!$E$11,"",+C16+1)</f>
        <v>2025</v>
      </c>
      <c r="D17" s="159">
        <f ca="1">IF(A17&gt;'Additional Input'!$E$11,"",($D16*(1+'Additional Input'!$F$26))+$N16+$Q16+$R16+$S16+VLOOKUP(A16,Gifts,6)-VLOOKUP(A17,Gifts,6))</f>
        <v>22496804.688525788</v>
      </c>
      <c r="E17" s="159">
        <f ca="1">IF(A17&gt;'Additional Input'!$E$11,"",E16*(1+'Additional Input'!$F$28))</f>
        <v>0</v>
      </c>
      <c r="F17" s="159">
        <f ca="1">IF(A17&gt;'Additional Input'!$E$11,"",($F16*(1+'Additional Input'!$F$27))-$Q16+IF(('Additional Input'!$K$40)&gt;A16,'Additional Input'!$D$40*(1+IF('Additional Input'!$H$40=TRUE,'Additional Input'!$D$13,0))^A16,0)+IF(('Additional Input'!$K$40)&gt;A16,'Additional Input'!$F$40*(1+IF('Additional Input'!$H$40=TRUE,'Additional Input'!$D$13,0))^A16,0))</f>
        <v>0</v>
      </c>
      <c r="G17" s="646">
        <f ca="1">IF(A17&gt;'Additional Input'!$E$11,"",-VLOOKUP(A17*12,Amortization,2))</f>
        <v>0</v>
      </c>
      <c r="H17" s="159">
        <f ca="1">IF(A17&gt;'Additional Input'!$E$11,"",IF(A17&lt;=Calculator!$F$7,Calculator!$D$7,0)+Calculator!$D$8-IF(A17&gt;3,Calculator!$H$8,0))</f>
        <v>0</v>
      </c>
      <c r="I17" s="159">
        <f ca="1">IF(A17&gt;'Additional Input'!$E$11,"",D17+E17+F17+G17+H17)</f>
        <v>22496804.688525788</v>
      </c>
      <c r="J17" s="646">
        <f ca="1">IF(A17&gt;'Additional Input'!$E$11,"",VLOOKUP(A17,Gifts,9))</f>
        <v>1518678.589989438</v>
      </c>
      <c r="K17" s="159">
        <f ca="1">IF(A17&gt;'Additional Input'!$E$11,"",IF(Calculator!$D$20=TRUE,Calculator!$I$20,0)+IF(A17&gt;3,Calculator!$H$8,0))</f>
        <v>0</v>
      </c>
      <c r="L17" s="159">
        <f ca="1">IF(A17&gt;'Additional Input'!$E$11,"",J17+K17)</f>
        <v>1518678.589989438</v>
      </c>
      <c r="M17" s="126">
        <f ca="1">IF(A17&gt;'Additional Input'!$E$11,"",(D17*'Additional Input'!$F$26)+(E17*'Additional Input'!$F$28)+(F17*'Additional Input'!$F$27))</f>
        <v>899872.18754103151</v>
      </c>
      <c r="N17" s="126">
        <f ca="1">IF(A17&gt;'Additional Input'!$E$11,"",IF(('Additional Input'!$K$35)&gt;Projections!A17,'Additional Input'!$D$35*(1+IF('Additional Input'!$H$35=TRUE,'Additional Input'!$D$13,0))^Projections!A17,0)+IF(('Additional Input'!$K$36)&gt;Projections!A17,'Additional Input'!$D$36*(1+IF('Additional Input'!$H$36=TRUE,'Additional Input'!$D$13,0))^Projections!A17,0)-IF(('Additional Input'!$K$40)&gt;A17,'Additional Input'!$D$40*(1+IF('Additional Input'!$H$39=TRUE,'Additional Input'!$D$13,0))^A17,0)+IF(('Additional Input'!$F$37-'Additional Input'!$N$9)&lt;=Projections!A17,'Additional Input'!$D$37*(1+IF('Additional Input'!$H$37=TRUE,'Additional Input'!$D$13,0))^IF('Additional Input'!$K$37=TRUE,Projections!A17,Projections!A17-('Additional Input'!$F$37-'Additional Input'!$N$9)),0)+Adjustments!C17)</f>
        <v>0</v>
      </c>
      <c r="O17" s="823">
        <f ca="1">IF(A17&gt;'Additional Input'!$E$11,"",IF(('Additional Input'!$N$9+Projections!$A17)&gt;=IF('Additional Input'!$K$44=TRUE,71,70),VLOOKUP(('Additional Input'!$N$9+Projections!$A17),UniformTable,2),0))</f>
        <v>25.6</v>
      </c>
      <c r="P17" s="822">
        <f ca="1">IF(A17&gt;'Additional Input'!$E$11,"",IF($O17=0,0,$F17/$O17))</f>
        <v>0</v>
      </c>
      <c r="Q17" s="178">
        <f ca="1">IF(A17&gt;'Additional Input'!$E$11,"",IF(IF('Additional Input'!$D$44=TRUE,IF($O17=0,0,$F17/$O17),IF('Additional Input'!$F$45-'Additional Input'!$N$9&lt;=Projections!$A17,IF($F17*(1+$F$4)&lt;'Additional Input'!$D$45*IF('Additional Input'!$H$45=TRUE,(1+'Additional Input'!$D$13)^IF('Additional Input'!$K$45=TRUE,$A17,$A17-('Additional Input'!$F$45-'Additional Input'!$N$9)),1),$F17*(1+$F$4),'Additional Input'!$D$45*IF('Additional Input'!$H$45=TRUE,(1+'Additional Input'!$D$13)^IF('Additional Input'!$K$45=TRUE,$A17,$A17-('Additional Input'!$F$45-'Additional Input'!$N$9)),1)),0))&lt;$P17,$P17,IF('Additional Input'!$D$44=TRUE,IF($O17=0,0,$F17/$O17),IF('Additional Input'!$F$45-'Additional Input'!$N$9&lt;=Projections!$A17,IF($F17*(1+$F$4)&lt;'Additional Input'!$D$45*IF('Additional Input'!$H$45=TRUE,(1+'Additional Input'!$D$13)^IF('Additional Input'!$K$45=TRUE,$A17,$A17-('Additional Input'!$F$45-'Additional Input'!$N$9)),1),$F17*(1+$F$4),'Additional Input'!$D$45*IF('Additional Input'!$H$45=TRUE,(1+'Additional Input'!$D$13)^IF('Additional Input'!$K$45=TRUE,$A17,$A17-('Additional Input'!$F$45-'Additional Input'!$N$9)),1)),0)))+Adjustments!D17)</f>
        <v>0</v>
      </c>
      <c r="R17" s="571">
        <f ca="1">IF(A17&gt;'Additional Input'!$E$11,"",-((N17+Q17)*'Additional Input'!$D$12)+Adjustments!E17)</f>
        <v>0</v>
      </c>
      <c r="S17" s="571">
        <f ca="1">IF(A17&gt;'Additional Input'!$E$11,"",IF($A17&gt;='Additional Input'!$D$19,-'Additional Input'!$D$18*(1+IF('Additional Input'!$F$18=TRUE,'Additional Input'!$D$13,0))^Projections!A17,0)-TaxTables!D43+Adjustments!F17-VLOOKUP(A17,Gifts,6))</f>
        <v>-102000</v>
      </c>
      <c r="T17" s="126">
        <f ca="1">IF(A17&gt;'Additional Input'!$E$11,"",N17+Q17+R17+S17)</f>
        <v>-102000</v>
      </c>
      <c r="U17" s="367"/>
    </row>
    <row r="18" spans="1:21" ht="14.25" customHeight="1">
      <c r="A18" s="122">
        <f t="shared" si="0"/>
        <v>13</v>
      </c>
      <c r="B18" s="110" t="str">
        <f ca="1">IF(A18&gt;'Additional Input'!$E$11,"",IF('Additional Input'!$N$9="","",'Additional Input'!$N$9+Projections!A18)&amp;"/"&amp;IF('Additional Input'!$O$9="","",IF('Additional Input'!$O$9=0,"",'Additional Input'!$O$9+Projections!A18)))</f>
        <v>73/73</v>
      </c>
      <c r="C18" s="122">
        <f ca="1">IF(A18&gt;'Additional Input'!$E$11,"",+C17+1)</f>
        <v>2026</v>
      </c>
      <c r="D18" s="159">
        <f ca="1">IF(A18&gt;'Additional Input'!$E$11,"",($D17*(1+'Additional Input'!$F$26))+$N17+$Q17+$R17+$S17+VLOOKUP(A17,Gifts,6)-VLOOKUP(A18,Gifts,6))</f>
        <v>23288676.876066823</v>
      </c>
      <c r="E18" s="159">
        <f ca="1">IF(A18&gt;'Additional Input'!$E$11,"",E17*(1+'Additional Input'!$F$28))</f>
        <v>0</v>
      </c>
      <c r="F18" s="159">
        <f ca="1">IF(A18&gt;'Additional Input'!$E$11,"",($F17*(1+'Additional Input'!$F$27))-$Q17+IF(('Additional Input'!$K$40)&gt;A17,'Additional Input'!$D$40*(1+IF('Additional Input'!$H$40=TRUE,'Additional Input'!$D$13,0))^A17,0)+IF(('Additional Input'!$K$40)&gt;A17,'Additional Input'!$F$40*(1+IF('Additional Input'!$H$40=TRUE,'Additional Input'!$D$13,0))^A17,0))</f>
        <v>0</v>
      </c>
      <c r="G18" s="646">
        <f ca="1">IF(A18&gt;'Additional Input'!$E$11,"",-VLOOKUP(A18*12,Amortization,2))</f>
        <v>0</v>
      </c>
      <c r="H18" s="159">
        <f ca="1">IF(A18&gt;'Additional Input'!$E$11,"",IF(A18&lt;=Calculator!$F$7,Calculator!$D$7,0)+Calculator!$D$8-IF(A18&gt;3,Calculator!$H$8,0))</f>
        <v>0</v>
      </c>
      <c r="I18" s="159">
        <f ca="1">IF(A18&gt;'Additional Input'!$E$11,"",D18+E18+F18+G18+H18)</f>
        <v>23288676.876066823</v>
      </c>
      <c r="J18" s="646">
        <f ca="1">IF(A18&gt;'Additional Input'!$E$11,"",VLOOKUP(A18,Gifts,9))</f>
        <v>1687425.7335890154</v>
      </c>
      <c r="K18" s="159">
        <f ca="1">IF(A18&gt;'Additional Input'!$E$11,"",IF(Calculator!$D$20=TRUE,Calculator!$I$20,0)+IF(A18&gt;3,Calculator!$H$8,0))</f>
        <v>0</v>
      </c>
      <c r="L18" s="159">
        <f ca="1">IF(A18&gt;'Additional Input'!$E$11,"",J18+K18)</f>
        <v>1687425.7335890154</v>
      </c>
      <c r="M18" s="126">
        <f ca="1">IF(A18&gt;'Additional Input'!$E$11,"",(D18*'Additional Input'!$F$26)+(E18*'Additional Input'!$F$28)+(F18*'Additional Input'!$F$27))</f>
        <v>931547.07504267292</v>
      </c>
      <c r="N18" s="126">
        <f ca="1">IF(A18&gt;'Additional Input'!$E$11,"",IF(('Additional Input'!$K$35)&gt;Projections!A18,'Additional Input'!$D$35*(1+IF('Additional Input'!$H$35=TRUE,'Additional Input'!$D$13,0))^Projections!A18,0)+IF(('Additional Input'!$K$36)&gt;Projections!A18,'Additional Input'!$D$36*(1+IF('Additional Input'!$H$36=TRUE,'Additional Input'!$D$13,0))^Projections!A18,0)-IF(('Additional Input'!$K$40)&gt;A18,'Additional Input'!$D$40*(1+IF('Additional Input'!$H$39=TRUE,'Additional Input'!$D$13,0))^A18,0)+IF(('Additional Input'!$F$37-'Additional Input'!$N$9)&lt;=Projections!A18,'Additional Input'!$D$37*(1+IF('Additional Input'!$H$37=TRUE,'Additional Input'!$D$13,0))^IF('Additional Input'!$K$37=TRUE,Projections!A18,Projections!A18-('Additional Input'!$F$37-'Additional Input'!$N$9)),0)+Adjustments!C18)</f>
        <v>0</v>
      </c>
      <c r="O18" s="823">
        <f ca="1">IF(A18&gt;'Additional Input'!$E$11,"",IF(('Additional Input'!$N$9+Projections!$A18)&gt;=IF('Additional Input'!$K$44=TRUE,71,70),VLOOKUP(('Additional Input'!$N$9+Projections!$A18),UniformTable,2),0))</f>
        <v>24.7</v>
      </c>
      <c r="P18" s="822">
        <f ca="1">IF(A18&gt;'Additional Input'!$E$11,"",IF($O18=0,0,$F18/$O18))</f>
        <v>0</v>
      </c>
      <c r="Q18" s="178">
        <f ca="1">IF(A18&gt;'Additional Input'!$E$11,"",IF(IF('Additional Input'!$D$44=TRUE,IF($O18=0,0,$F18/$O18),IF('Additional Input'!$F$45-'Additional Input'!$N$9&lt;=Projections!$A18,IF($F18*(1+$F$4)&lt;'Additional Input'!$D$45*IF('Additional Input'!$H$45=TRUE,(1+'Additional Input'!$D$13)^IF('Additional Input'!$K$45=TRUE,$A18,$A18-('Additional Input'!$F$45-'Additional Input'!$N$9)),1),$F18*(1+$F$4),'Additional Input'!$D$45*IF('Additional Input'!$H$45=TRUE,(1+'Additional Input'!$D$13)^IF('Additional Input'!$K$45=TRUE,$A18,$A18-('Additional Input'!$F$45-'Additional Input'!$N$9)),1)),0))&lt;$P18,$P18,IF('Additional Input'!$D$44=TRUE,IF($O18=0,0,$F18/$O18),IF('Additional Input'!$F$45-'Additional Input'!$N$9&lt;=Projections!$A18,IF($F18*(1+$F$4)&lt;'Additional Input'!$D$45*IF('Additional Input'!$H$45=TRUE,(1+'Additional Input'!$D$13)^IF('Additional Input'!$K$45=TRUE,$A18,$A18-('Additional Input'!$F$45-'Additional Input'!$N$9)),1),$F18*(1+$F$4),'Additional Input'!$D$45*IF('Additional Input'!$H$45=TRUE,(1+'Additional Input'!$D$13)^IF('Additional Input'!$K$45=TRUE,$A18,$A18-('Additional Input'!$F$45-'Additional Input'!$N$9)),1)),0)))+Adjustments!D18)</f>
        <v>0</v>
      </c>
      <c r="R18" s="571">
        <f ca="1">IF(A18&gt;'Additional Input'!$E$11,"",-((N18+Q18)*'Additional Input'!$D$12)+Adjustments!E18)</f>
        <v>0</v>
      </c>
      <c r="S18" s="571">
        <f ca="1">IF(A18&gt;'Additional Input'!$E$11,"",IF($A18&gt;='Additional Input'!$D$19,-'Additional Input'!$D$18*(1+IF('Additional Input'!$F$18=TRUE,'Additional Input'!$D$13,0))^Projections!A18,0)-TaxTables!D44+Adjustments!F18-VLOOKUP(A18,Gifts,6))</f>
        <v>-108000</v>
      </c>
      <c r="T18" s="126">
        <f ca="1">IF(A18&gt;'Additional Input'!$E$11,"",N18+Q18+R18+S18)</f>
        <v>-108000</v>
      </c>
      <c r="U18" s="367"/>
    </row>
    <row r="19" spans="1:21" ht="14.25" customHeight="1">
      <c r="A19" s="122">
        <f t="shared" si="0"/>
        <v>14</v>
      </c>
      <c r="B19" s="110" t="str">
        <f ca="1">IF(A19&gt;'Additional Input'!$E$11,"",IF('Additional Input'!$N$9="","",'Additional Input'!$N$9+Projections!A19)&amp;"/"&amp;IF('Additional Input'!$O$9="","",IF('Additional Input'!$O$9=0,"",'Additional Input'!$O$9+Projections!A19)))</f>
        <v>74/74</v>
      </c>
      <c r="C19" s="122">
        <f ca="1">IF(A19&gt;'Additional Input'!$E$11,"",+C18+1)</f>
        <v>2027</v>
      </c>
      <c r="D19" s="159">
        <f ca="1">IF(A19&gt;'Additional Input'!$E$11,"",($D18*(1+'Additional Input'!$F$26))+$N18+$Q18+$R18+$S18+VLOOKUP(A18,Gifts,6)-VLOOKUP(A19,Gifts,6))</f>
        <v>24112223.951109495</v>
      </c>
      <c r="E19" s="159">
        <f ca="1">IF(A19&gt;'Additional Input'!$E$11,"",E18*(1+'Additional Input'!$F$28))</f>
        <v>0</v>
      </c>
      <c r="F19" s="159">
        <f ca="1">IF(A19&gt;'Additional Input'!$E$11,"",($F18*(1+'Additional Input'!$F$27))-$Q18+IF(('Additional Input'!$K$40)&gt;A18,'Additional Input'!$D$40*(1+IF('Additional Input'!$H$40=TRUE,'Additional Input'!$D$13,0))^A18,0)+IF(('Additional Input'!$K$40)&gt;A18,'Additional Input'!$F$40*(1+IF('Additional Input'!$H$40=TRUE,'Additional Input'!$D$13,0))^A18,0))</f>
        <v>0</v>
      </c>
      <c r="G19" s="646">
        <f ca="1">IF(A19&gt;'Additional Input'!$E$11,"",-VLOOKUP(A19*12,Amortization,2))</f>
        <v>0</v>
      </c>
      <c r="H19" s="159">
        <f ca="1">IF(A19&gt;'Additional Input'!$E$11,"",IF(A19&lt;=Calculator!$F$7,Calculator!$D$7,0)+Calculator!$D$8-IF(A19&gt;3,Calculator!$H$8,0))</f>
        <v>0</v>
      </c>
      <c r="I19" s="159">
        <f ca="1">IF(A19&gt;'Additional Input'!$E$11,"",D19+E19+F19+G19+H19)</f>
        <v>24112223.951109495</v>
      </c>
      <c r="J19" s="646">
        <f ca="1">IF(A19&gt;'Additional Input'!$E$11,"",VLOOKUP(A19,Gifts,9))</f>
        <v>1862922.762932576</v>
      </c>
      <c r="K19" s="159">
        <f ca="1">IF(A19&gt;'Additional Input'!$E$11,"",IF(Calculator!$D$20=TRUE,Calculator!$I$20,0)+IF(A19&gt;3,Calculator!$H$8,0))</f>
        <v>0</v>
      </c>
      <c r="L19" s="159">
        <f ca="1">IF(A19&gt;'Additional Input'!$E$11,"",J19+K19)</f>
        <v>1862922.762932576</v>
      </c>
      <c r="M19" s="126">
        <f ca="1">IF(A19&gt;'Additional Input'!$E$11,"",(D19*'Additional Input'!$F$26)+(E19*'Additional Input'!$F$28)+(F19*'Additional Input'!$F$27))</f>
        <v>964488.95804437983</v>
      </c>
      <c r="N19" s="126">
        <f ca="1">IF(A19&gt;'Additional Input'!$E$11,"",IF(('Additional Input'!$K$35)&gt;Projections!A19,'Additional Input'!$D$35*(1+IF('Additional Input'!$H$35=TRUE,'Additional Input'!$D$13,0))^Projections!A19,0)+IF(('Additional Input'!$K$36)&gt;Projections!A19,'Additional Input'!$D$36*(1+IF('Additional Input'!$H$36=TRUE,'Additional Input'!$D$13,0))^Projections!A19,0)-IF(('Additional Input'!$K$40)&gt;A19,'Additional Input'!$D$40*(1+IF('Additional Input'!$H$39=TRUE,'Additional Input'!$D$13,0))^A19,0)+IF(('Additional Input'!$F$37-'Additional Input'!$N$9)&lt;=Projections!A19,'Additional Input'!$D$37*(1+IF('Additional Input'!$H$37=TRUE,'Additional Input'!$D$13,0))^IF('Additional Input'!$K$37=TRUE,Projections!A19,Projections!A19-('Additional Input'!$F$37-'Additional Input'!$N$9)),0)+Adjustments!C19)</f>
        <v>0</v>
      </c>
      <c r="O19" s="823">
        <f ca="1">IF(A19&gt;'Additional Input'!$E$11,"",IF(('Additional Input'!$N$9+Projections!$A19)&gt;=IF('Additional Input'!$K$44=TRUE,71,70),VLOOKUP(('Additional Input'!$N$9+Projections!$A19),UniformTable,2),0))</f>
        <v>23.8</v>
      </c>
      <c r="P19" s="822">
        <f ca="1">IF(A19&gt;'Additional Input'!$E$11,"",IF($O19=0,0,$F19/$O19))</f>
        <v>0</v>
      </c>
      <c r="Q19" s="178">
        <f ca="1">IF(A19&gt;'Additional Input'!$E$11,"",IF(IF('Additional Input'!$D$44=TRUE,IF($O19=0,0,$F19/$O19),IF('Additional Input'!$F$45-'Additional Input'!$N$9&lt;=Projections!$A19,IF($F19*(1+$F$4)&lt;'Additional Input'!$D$45*IF('Additional Input'!$H$45=TRUE,(1+'Additional Input'!$D$13)^IF('Additional Input'!$K$45=TRUE,$A19,$A19-('Additional Input'!$F$45-'Additional Input'!$N$9)),1),$F19*(1+$F$4),'Additional Input'!$D$45*IF('Additional Input'!$H$45=TRUE,(1+'Additional Input'!$D$13)^IF('Additional Input'!$K$45=TRUE,$A19,$A19-('Additional Input'!$F$45-'Additional Input'!$N$9)),1)),0))&lt;$P19,$P19,IF('Additional Input'!$D$44=TRUE,IF($O19=0,0,$F19/$O19),IF('Additional Input'!$F$45-'Additional Input'!$N$9&lt;=Projections!$A19,IF($F19*(1+$F$4)&lt;'Additional Input'!$D$45*IF('Additional Input'!$H$45=TRUE,(1+'Additional Input'!$D$13)^IF('Additional Input'!$K$45=TRUE,$A19,$A19-('Additional Input'!$F$45-'Additional Input'!$N$9)),1),$F19*(1+$F$4),'Additional Input'!$D$45*IF('Additional Input'!$H$45=TRUE,(1+'Additional Input'!$D$13)^IF('Additional Input'!$K$45=TRUE,$A19,$A19-('Additional Input'!$F$45-'Additional Input'!$N$9)),1)),0)))+Adjustments!D19)</f>
        <v>0</v>
      </c>
      <c r="R19" s="571">
        <f ca="1">IF(A19&gt;'Additional Input'!$E$11,"",-((N19+Q19)*'Additional Input'!$D$12)+Adjustments!E19)</f>
        <v>0</v>
      </c>
      <c r="S19" s="571">
        <f ca="1">IF(A19&gt;'Additional Input'!$E$11,"",IF($A19&gt;='Additional Input'!$D$19,-'Additional Input'!$D$18*(1+IF('Additional Input'!$F$18=TRUE,'Additional Input'!$D$13,0))^Projections!A19,0)-TaxTables!D45+Adjustments!F19-VLOOKUP(A19,Gifts,6))</f>
        <v>-108000</v>
      </c>
      <c r="T19" s="126">
        <f ca="1">IF(A19&gt;'Additional Input'!$E$11,"",N19+Q19+R19+S19)</f>
        <v>-108000</v>
      </c>
      <c r="U19" s="367"/>
    </row>
    <row r="20" spans="1:21" s="119" customFormat="1" ht="14.25" customHeight="1">
      <c r="A20" s="657">
        <f t="shared" si="0"/>
        <v>15</v>
      </c>
      <c r="B20" s="651" t="str">
        <f ca="1">IF(A20&gt;'Additional Input'!$E$11,"",IF('Additional Input'!$N$9="","",'Additional Input'!$N$9+Projections!A20)&amp;"/"&amp;IF('Additional Input'!$O$9="","",IF('Additional Input'!$O$9=0,"",'Additional Input'!$O$9+Projections!A20)))</f>
        <v>75/75</v>
      </c>
      <c r="C20" s="650">
        <f ca="1">IF(A20&gt;'Additional Input'!$E$11,"",+C19+1)</f>
        <v>2028</v>
      </c>
      <c r="D20" s="652">
        <f ca="1">IF(A20&gt;'Additional Input'!$E$11,"",($D19*(1+'Additional Input'!$F$26))+$N19+$Q19+$R19+$S19+VLOOKUP(A19,Gifts,6)-VLOOKUP(A20,Gifts,6))</f>
        <v>24968712.909153875</v>
      </c>
      <c r="E20" s="653">
        <f ca="1">IF(A20&gt;'Additional Input'!$E$11,"",E19*(1+'Additional Input'!$F$28))</f>
        <v>0</v>
      </c>
      <c r="F20" s="653">
        <f ca="1">IF(A20&gt;'Additional Input'!$E$11,"",($F19*(1+'Additional Input'!$F$27))-$Q19+IF(('Additional Input'!$K$40)&gt;A19,'Additional Input'!$D$40*(1+IF('Additional Input'!$H$40=TRUE,'Additional Input'!$D$13,0))^A19,0)+IF(('Additional Input'!$K$40)&gt;A19,'Additional Input'!$F$40*(1+IF('Additional Input'!$H$40=TRUE,'Additional Input'!$D$13,0))^A19,0))</f>
        <v>0</v>
      </c>
      <c r="G20" s="853">
        <f ca="1">IF(A20&gt;'Additional Input'!$E$11,"",-VLOOKUP(A20*12,Amortization,2))</f>
        <v>0</v>
      </c>
      <c r="H20" s="652">
        <f ca="1">IF(A20&gt;'Additional Input'!$E$11,"",IF(A20&lt;=Calculator!$F$7,Calculator!$D$7,0)+Calculator!$D$8-IF(A20&gt;3,Calculator!$H$8,0))</f>
        <v>0</v>
      </c>
      <c r="I20" s="652">
        <f ca="1">IF(A20&gt;'Additional Input'!$E$11,"",D20+E20+F20+G20+H20)</f>
        <v>24968712.909153875</v>
      </c>
      <c r="J20" s="649">
        <f ca="1">IF(A20&gt;'Additional Input'!$E$11,"",VLOOKUP(A20,Gifts,9))</f>
        <v>2045439.673449879</v>
      </c>
      <c r="K20" s="652">
        <f ca="1">IF(A20&gt;'Additional Input'!$E$11,"",IF(Calculator!$D$20=TRUE,Calculator!$I$20,0)+IF(A20&gt;3,Calculator!$H$8,0))</f>
        <v>0</v>
      </c>
      <c r="L20" s="652">
        <f ca="1">IF(A20&gt;'Additional Input'!$E$11,"",J20+K20)</f>
        <v>2045439.673449879</v>
      </c>
      <c r="M20" s="654">
        <f ca="1">IF(A20&gt;'Additional Input'!$E$11,"",(D20*'Additional Input'!$F$26)+(E20*'Additional Input'!$F$28)+(F20*'Additional Input'!$F$27))</f>
        <v>998748.516366155</v>
      </c>
      <c r="N20" s="655">
        <f ca="1">IF(A20&gt;'Additional Input'!$E$11,"",IF(('Additional Input'!$K$35)&gt;Projections!A20,'Additional Input'!$D$35*(1+IF('Additional Input'!$H$35=TRUE,'Additional Input'!$D$13,0))^Projections!A20,0)+IF(('Additional Input'!$K$36)&gt;Projections!A20,'Additional Input'!$D$36*(1+IF('Additional Input'!$H$36=TRUE,'Additional Input'!$D$13,0))^Projections!A20,0)-IF(('Additional Input'!$K$40)&gt;A20,'Additional Input'!$D$40*(1+IF('Additional Input'!$H$39=TRUE,'Additional Input'!$D$13,0))^A20,0)+IF(('Additional Input'!$F$37-'Additional Input'!$N$9)&lt;=Projections!A20,'Additional Input'!$D$37*(1+IF('Additional Input'!$H$37=TRUE,'Additional Input'!$D$13,0))^IF('Additional Input'!$K$37=TRUE,Projections!A20,Projections!A20-('Additional Input'!$F$37-'Additional Input'!$N$9)),0)+Adjustments!C20)</f>
        <v>0</v>
      </c>
      <c r="O20" s="824">
        <f ca="1">IF(A20&gt;'Additional Input'!$E$11,"",IF(('Additional Input'!$N$9+Projections!$A20)&gt;=IF('Additional Input'!$K$44=TRUE,71,70),VLOOKUP(('Additional Input'!$N$9+Projections!$A20),UniformTable,2),0))</f>
        <v>22.9</v>
      </c>
      <c r="P20" s="825">
        <f ca="1">IF(A20&gt;'Additional Input'!$E$11,"",IF($O20=0,0,$F20/$O20))</f>
        <v>0</v>
      </c>
      <c r="Q20" s="655">
        <f ca="1">IF(A20&gt;'Additional Input'!$E$11,"",IF(IF('Additional Input'!$D$44=TRUE,IF($O20=0,0,$F20/$O20),IF('Additional Input'!$F$45-'Additional Input'!$N$9&lt;=Projections!$A20,IF($F20*(1+$F$4)&lt;'Additional Input'!$D$45*IF('Additional Input'!$H$45=TRUE,(1+'Additional Input'!$D$13)^IF('Additional Input'!$K$45=TRUE,$A20,$A20-('Additional Input'!$F$45-'Additional Input'!$N$9)),1),$F20*(1+$F$4),'Additional Input'!$D$45*IF('Additional Input'!$H$45=TRUE,(1+'Additional Input'!$D$13)^IF('Additional Input'!$K$45=TRUE,$A20,$A20-('Additional Input'!$F$45-'Additional Input'!$N$9)),1)),0))&lt;$P20,$P20,IF('Additional Input'!$D$44=TRUE,IF($O20=0,0,$F20/$O20),IF('Additional Input'!$F$45-'Additional Input'!$N$9&lt;=Projections!$A20,IF($F20*(1+$F$4)&lt;'Additional Input'!$D$45*IF('Additional Input'!$H$45=TRUE,(1+'Additional Input'!$D$13)^IF('Additional Input'!$K$45=TRUE,$A20,$A20-('Additional Input'!$F$45-'Additional Input'!$N$9)),1),$F20*(1+$F$4),'Additional Input'!$D$45*IF('Additional Input'!$H$45=TRUE,(1+'Additional Input'!$D$13)^IF('Additional Input'!$K$45=TRUE,$A20,$A20-('Additional Input'!$F$45-'Additional Input'!$N$9)),1)),0)))+Adjustments!D20)</f>
        <v>0</v>
      </c>
      <c r="R20" s="656">
        <f ca="1">IF(A20&gt;'Additional Input'!$E$11,"",-((N20+Q20)*'Additional Input'!$D$12)+Adjustments!E20)</f>
        <v>0</v>
      </c>
      <c r="S20" s="656">
        <f ca="1">IF(A20&gt;'Additional Input'!$E$11,"",IF($A20&gt;='Additional Input'!$D$19,-'Additional Input'!$D$18*(1+IF('Additional Input'!$F$18=TRUE,'Additional Input'!$D$13,0))^Projections!A20,0)-TaxTables!D46+Adjustments!F20-VLOOKUP(A20,Gifts,6))</f>
        <v>-108000</v>
      </c>
      <c r="T20" s="654">
        <f ca="1">IF(A20&gt;'Additional Input'!$E$11,"",N20+Q20+R20+S20)</f>
        <v>-108000</v>
      </c>
      <c r="U20" s="637"/>
    </row>
    <row r="21" spans="1:21" ht="14.25" customHeight="1">
      <c r="A21" s="122">
        <f t="shared" si="0"/>
        <v>16</v>
      </c>
      <c r="B21" s="110" t="str">
        <f ca="1">IF(A21&gt;'Additional Input'!$E$11,"",IF('Additional Input'!$N$9="","",'Additional Input'!$N$9+Projections!A21)&amp;"/"&amp;IF('Additional Input'!$O$9="","",IF('Additional Input'!$O$9=0,"",'Additional Input'!$O$9+Projections!A21)))</f>
        <v>76/76</v>
      </c>
      <c r="C21" s="122">
        <f ca="1">IF(A21&gt;'Additional Input'!$E$11,"",+C20+1)</f>
        <v>2029</v>
      </c>
      <c r="D21" s="159">
        <f ca="1">IF(A21&gt;'Additional Input'!$E$11,"",($D20*(1+'Additional Input'!$F$26))+$N20+$Q20+$R20+$S20+VLOOKUP(A20,Gifts,6)-VLOOKUP(A21,Gifts,6))</f>
        <v>25853461.425520033</v>
      </c>
      <c r="E21" s="159">
        <f ca="1">IF(A21&gt;'Additional Input'!$E$11,"",E20*(1+'Additional Input'!$F$28))</f>
        <v>0</v>
      </c>
      <c r="F21" s="159">
        <f ca="1">IF(A21&gt;'Additional Input'!$E$11,"",($F20*(1+'Additional Input'!$F$27))-$Q20+IF(('Additional Input'!$K$40)&gt;A20,'Additional Input'!$D$40*(1+IF('Additional Input'!$H$40=TRUE,'Additional Input'!$D$13,0))^A20,0)+IF(('Additional Input'!$K$40)&gt;A20,'Additional Input'!$F$40*(1+IF('Additional Input'!$H$40=TRUE,'Additional Input'!$D$13,0))^A20,0))</f>
        <v>0</v>
      </c>
      <c r="G21" s="646">
        <f ca="1">IF(A21&gt;'Additional Input'!$E$11,"",-VLOOKUP(A21*12,Amortization,2))</f>
        <v>0</v>
      </c>
      <c r="H21" s="159">
        <f ca="1">IF(A21&gt;'Additional Input'!$E$11,"",IF(A21&lt;=Calculator!$F$7,Calculator!$D$7,0)+Calculator!$D$8-IF(A21&gt;3,Calculator!$H$8,0))</f>
        <v>0</v>
      </c>
      <c r="I21" s="159">
        <f ca="1">IF(A21&gt;'Additional Input'!$E$11,"",D21+E21+F21+G21+H21)</f>
        <v>25853461.425520033</v>
      </c>
      <c r="J21" s="646">
        <f ca="1">IF(A21&gt;'Additional Input'!$E$11,"",VLOOKUP(A21,Gifts,9))</f>
        <v>2241257.2603878742</v>
      </c>
      <c r="K21" s="159">
        <f ca="1">IF(A21&gt;'Additional Input'!$E$11,"",IF(Calculator!$D$20=TRUE,Calculator!$I$20,0)+IF(A21&gt;3,Calculator!$H$8,0))</f>
        <v>0</v>
      </c>
      <c r="L21" s="159">
        <f ca="1">IF(A21&gt;'Additional Input'!$E$11,"",J21+K21)</f>
        <v>2241257.2603878742</v>
      </c>
      <c r="M21" s="126">
        <f ca="1">IF(A21&gt;'Additional Input'!$E$11,"",(D21*'Additional Input'!$F$26)+(E21*'Additional Input'!$F$28)+(F21*'Additional Input'!$F$27))</f>
        <v>1034138.4570208014</v>
      </c>
      <c r="N21" s="126">
        <f ca="1">IF(A21&gt;'Additional Input'!$E$11,"",IF(('Additional Input'!$K$35)&gt;Projections!A21,'Additional Input'!$D$35*(1+IF('Additional Input'!$H$35=TRUE,'Additional Input'!$D$13,0))^Projections!A21,0)+IF(('Additional Input'!$K$36)&gt;Projections!A21,'Additional Input'!$D$36*(1+IF('Additional Input'!$H$36=TRUE,'Additional Input'!$D$13,0))^Projections!A21,0)-IF(('Additional Input'!$K$40)&gt;A21,'Additional Input'!$D$40*(1+IF('Additional Input'!$H$39=TRUE,'Additional Input'!$D$13,0))^A21,0)+IF(('Additional Input'!$F$37-'Additional Input'!$N$9)&lt;=Projections!A21,'Additional Input'!$D$37*(1+IF('Additional Input'!$H$37=TRUE,'Additional Input'!$D$13,0))^IF('Additional Input'!$K$37=TRUE,Projections!A21,Projections!A21-('Additional Input'!$F$37-'Additional Input'!$N$9)),0)+Adjustments!C21)</f>
        <v>0</v>
      </c>
      <c r="O21" s="823">
        <f ca="1">IF(A21&gt;'Additional Input'!$E$11,"",IF(('Additional Input'!$N$9+Projections!$A21)&gt;=IF('Additional Input'!$K$44=TRUE,71,70),VLOOKUP(('Additional Input'!$N$9+Projections!$A21),UniformTable,2),0))</f>
        <v>22</v>
      </c>
      <c r="P21" s="822">
        <f ca="1">IF(A21&gt;'Additional Input'!$E$11,"",IF($O21=0,0,$F21/$O21))</f>
        <v>0</v>
      </c>
      <c r="Q21" s="178">
        <f ca="1">IF(A21&gt;'Additional Input'!$E$11,"",IF(IF('Additional Input'!$D$44=TRUE,IF($O21=0,0,$F21/$O21),IF('Additional Input'!$F$45-'Additional Input'!$N$9&lt;=Projections!$A21,IF($F21*(1+$F$4)&lt;'Additional Input'!$D$45*IF('Additional Input'!$H$45=TRUE,(1+'Additional Input'!$D$13)^IF('Additional Input'!$K$45=TRUE,$A21,$A21-('Additional Input'!$F$45-'Additional Input'!$N$9)),1),$F21*(1+$F$4),'Additional Input'!$D$45*IF('Additional Input'!$H$45=TRUE,(1+'Additional Input'!$D$13)^IF('Additional Input'!$K$45=TRUE,$A21,$A21-('Additional Input'!$F$45-'Additional Input'!$N$9)),1)),0))&lt;$P21,$P21,IF('Additional Input'!$D$44=TRUE,IF($O21=0,0,$F21/$O21),IF('Additional Input'!$F$45-'Additional Input'!$N$9&lt;=Projections!$A21,IF($F21*(1+$F$4)&lt;'Additional Input'!$D$45*IF('Additional Input'!$H$45=TRUE,(1+'Additional Input'!$D$13)^IF('Additional Input'!$K$45=TRUE,$A21,$A21-('Additional Input'!$F$45-'Additional Input'!$N$9)),1),$F21*(1+$F$4),'Additional Input'!$D$45*IF('Additional Input'!$H$45=TRUE,(1+'Additional Input'!$D$13)^IF('Additional Input'!$K$45=TRUE,$A21,$A21-('Additional Input'!$F$45-'Additional Input'!$N$9)),1)),0)))+Adjustments!D21)</f>
        <v>0</v>
      </c>
      <c r="R21" s="571">
        <f ca="1">IF(A21&gt;'Additional Input'!$E$11,"",-((N21+Q21)*'Additional Input'!$D$12)+Adjustments!E21)</f>
        <v>0</v>
      </c>
      <c r="S21" s="571">
        <f ca="1">IF(A21&gt;'Additional Input'!$E$11,"",IF($A21&gt;='Additional Input'!$D$19,-'Additional Input'!$D$18*(1+IF('Additional Input'!$F$18=TRUE,'Additional Input'!$D$13,0))^Projections!A21,0)-TaxTables!D47+Adjustments!F21-VLOOKUP(A21,Gifts,6))</f>
        <v>-114000</v>
      </c>
      <c r="T21" s="126">
        <f ca="1">IF(A21&gt;'Additional Input'!$E$11,"",N21+Q21+R21+S21)</f>
        <v>-114000</v>
      </c>
      <c r="U21" s="367"/>
    </row>
    <row r="22" spans="1:21" ht="14.25" customHeight="1">
      <c r="A22" s="122">
        <f t="shared" si="0"/>
        <v>17</v>
      </c>
      <c r="B22" s="110" t="str">
        <f ca="1">IF(A22&gt;'Additional Input'!$E$11,"",IF('Additional Input'!$N$9="","",'Additional Input'!$N$9+Projections!A22)&amp;"/"&amp;IF('Additional Input'!$O$9="","",IF('Additional Input'!$O$9=0,"",'Additional Input'!$O$9+Projections!A22)))</f>
        <v>77/77</v>
      </c>
      <c r="C22" s="122">
        <f ca="1">IF(A22&gt;'Additional Input'!$E$11,"",+C21+1)</f>
        <v>2030</v>
      </c>
      <c r="D22" s="159">
        <f ca="1">IF(A22&gt;'Additional Input'!$E$11,"",($D21*(1+'Additional Input'!$F$26))+$N21+$Q21+$R21+$S21+VLOOKUP(A21,Gifts,6)-VLOOKUP(A22,Gifts,6))</f>
        <v>26773599.882540833</v>
      </c>
      <c r="E22" s="159">
        <f ca="1">IF(A22&gt;'Additional Input'!$E$11,"",E21*(1+'Additional Input'!$F$28))</f>
        <v>0</v>
      </c>
      <c r="F22" s="159">
        <f ca="1">IF(A22&gt;'Additional Input'!$E$11,"",($F21*(1+'Additional Input'!$F$27))-$Q21+IF(('Additional Input'!$K$40)&gt;A21,'Additional Input'!$D$40*(1+IF('Additional Input'!$H$40=TRUE,'Additional Input'!$D$13,0))^A21,0)+IF(('Additional Input'!$K$40)&gt;A21,'Additional Input'!$F$40*(1+IF('Additional Input'!$H$40=TRUE,'Additional Input'!$D$13,0))^A21,0))</f>
        <v>0</v>
      </c>
      <c r="G22" s="646">
        <f ca="1">IF(A22&gt;'Additional Input'!$E$11,"",-VLOOKUP(A22*12,Amortization,2))</f>
        <v>0</v>
      </c>
      <c r="H22" s="159">
        <f ca="1">IF(A22&gt;'Additional Input'!$E$11,"",IF(A22&lt;=Calculator!$F$7,Calculator!$D$7,0)+Calculator!$D$8-IF(A22&gt;3,Calculator!$H$8,0))</f>
        <v>0</v>
      </c>
      <c r="I22" s="159">
        <f ca="1">IF(A22&gt;'Additional Input'!$E$11,"",D22+E22+F22+G22+H22)</f>
        <v>26773599.882540833</v>
      </c>
      <c r="J22" s="646">
        <f ca="1">IF(A22&gt;'Additional Input'!$E$11,"",VLOOKUP(A22,Gifts,9))</f>
        <v>2444907.5508033894</v>
      </c>
      <c r="K22" s="159">
        <f ca="1">IF(A22&gt;'Additional Input'!$E$11,"",IF(Calculator!$D$20=TRUE,Calculator!$I$20,0)+IF(A22&gt;3,Calculator!$H$8,0))</f>
        <v>0</v>
      </c>
      <c r="L22" s="159">
        <f ca="1">IF(A22&gt;'Additional Input'!$E$11,"",J22+K22)</f>
        <v>2444907.5508033894</v>
      </c>
      <c r="M22" s="126">
        <f ca="1">IF(A22&gt;'Additional Input'!$E$11,"",(D22*'Additional Input'!$F$26)+(E22*'Additional Input'!$F$28)+(F22*'Additional Input'!$F$27))</f>
        <v>1070943.9953016334</v>
      </c>
      <c r="N22" s="126">
        <f ca="1">IF(A22&gt;'Additional Input'!$E$11,"",IF(('Additional Input'!$K$35)&gt;Projections!A22,'Additional Input'!$D$35*(1+IF('Additional Input'!$H$35=TRUE,'Additional Input'!$D$13,0))^Projections!A22,0)+IF(('Additional Input'!$K$36)&gt;Projections!A22,'Additional Input'!$D$36*(1+IF('Additional Input'!$H$36=TRUE,'Additional Input'!$D$13,0))^Projections!A22,0)-IF(('Additional Input'!$K$40)&gt;A22,'Additional Input'!$D$40*(1+IF('Additional Input'!$H$39=TRUE,'Additional Input'!$D$13,0))^A22,0)+IF(('Additional Input'!$F$37-'Additional Input'!$N$9)&lt;=Projections!A22,'Additional Input'!$D$37*(1+IF('Additional Input'!$H$37=TRUE,'Additional Input'!$D$13,0))^IF('Additional Input'!$K$37=TRUE,Projections!A22,Projections!A22-('Additional Input'!$F$37-'Additional Input'!$N$9)),0)+Adjustments!C22)</f>
        <v>0</v>
      </c>
      <c r="O22" s="823">
        <f ca="1">IF(A22&gt;'Additional Input'!$E$11,"",IF(('Additional Input'!$N$9+Projections!$A22)&gt;=IF('Additional Input'!$K$44=TRUE,71,70),VLOOKUP(('Additional Input'!$N$9+Projections!$A22),UniformTable,2),0))</f>
        <v>21.2</v>
      </c>
      <c r="P22" s="822">
        <f ca="1">IF(A22&gt;'Additional Input'!$E$11,"",IF($O22=0,0,$F22/$O22))</f>
        <v>0</v>
      </c>
      <c r="Q22" s="178">
        <f ca="1">IF(A22&gt;'Additional Input'!$E$11,"",IF(IF('Additional Input'!$D$44=TRUE,IF($O22=0,0,$F22/$O22),IF('Additional Input'!$F$45-'Additional Input'!$N$9&lt;=Projections!$A22,IF($F22*(1+$F$4)&lt;'Additional Input'!$D$45*IF('Additional Input'!$H$45=TRUE,(1+'Additional Input'!$D$13)^IF('Additional Input'!$K$45=TRUE,$A22,$A22-('Additional Input'!$F$45-'Additional Input'!$N$9)),1),$F22*(1+$F$4),'Additional Input'!$D$45*IF('Additional Input'!$H$45=TRUE,(1+'Additional Input'!$D$13)^IF('Additional Input'!$K$45=TRUE,$A22,$A22-('Additional Input'!$F$45-'Additional Input'!$N$9)),1)),0))&lt;$P22,$P22,IF('Additional Input'!$D$44=TRUE,IF($O22=0,0,$F22/$O22),IF('Additional Input'!$F$45-'Additional Input'!$N$9&lt;=Projections!$A22,IF($F22*(1+$F$4)&lt;'Additional Input'!$D$45*IF('Additional Input'!$H$45=TRUE,(1+'Additional Input'!$D$13)^IF('Additional Input'!$K$45=TRUE,$A22,$A22-('Additional Input'!$F$45-'Additional Input'!$N$9)),1),$F22*(1+$F$4),'Additional Input'!$D$45*IF('Additional Input'!$H$45=TRUE,(1+'Additional Input'!$D$13)^IF('Additional Input'!$K$45=TRUE,$A22,$A22-('Additional Input'!$F$45-'Additional Input'!$N$9)),1)),0)))+Adjustments!D22)</f>
        <v>0</v>
      </c>
      <c r="R22" s="571">
        <f ca="1">IF(A22&gt;'Additional Input'!$E$11,"",-((N22+Q22)*'Additional Input'!$D$12)+Adjustments!E22)</f>
        <v>0</v>
      </c>
      <c r="S22" s="571">
        <f ca="1">IF(A22&gt;'Additional Input'!$E$11,"",IF($A22&gt;='Additional Input'!$D$19,-'Additional Input'!$D$18*(1+IF('Additional Input'!$F$18=TRUE,'Additional Input'!$D$13,0))^Projections!A22,0)-TaxTables!D48+Adjustments!F22-VLOOKUP(A22,Gifts,6))</f>
        <v>-114000</v>
      </c>
      <c r="T22" s="126">
        <f ca="1">IF(A22&gt;'Additional Input'!$E$11,"",N22+Q22+R22+S22)</f>
        <v>-114000</v>
      </c>
      <c r="U22" s="367"/>
    </row>
    <row r="23" spans="1:21" ht="14.25" customHeight="1">
      <c r="A23" s="122">
        <f t="shared" si="0"/>
        <v>18</v>
      </c>
      <c r="B23" s="110" t="str">
        <f ca="1">IF(A23&gt;'Additional Input'!$E$11,"",IF('Additional Input'!$N$9="","",'Additional Input'!$N$9+Projections!A23)&amp;"/"&amp;IF('Additional Input'!$O$9="","",IF('Additional Input'!$O$9=0,"",'Additional Input'!$O$9+Projections!A23)))</f>
        <v>78/78</v>
      </c>
      <c r="C23" s="122">
        <f ca="1">IF(A23&gt;'Additional Input'!$E$11,"",+C22+1)</f>
        <v>2031</v>
      </c>
      <c r="D23" s="159">
        <f ca="1">IF(A23&gt;'Additional Input'!$E$11,"",($D22*(1+'Additional Input'!$F$26))+$N22+$Q22+$R22+$S22+VLOOKUP(A22,Gifts,6)-VLOOKUP(A23,Gifts,6))</f>
        <v>27730543.877842467</v>
      </c>
      <c r="E23" s="159">
        <f ca="1">IF(A23&gt;'Additional Input'!$E$11,"",E22*(1+'Additional Input'!$F$28))</f>
        <v>0</v>
      </c>
      <c r="F23" s="159">
        <f ca="1">IF(A23&gt;'Additional Input'!$E$11,"",($F22*(1+'Additional Input'!$F$27))-$Q22+IF(('Additional Input'!$K$40)&gt;A22,'Additional Input'!$D$40*(1+IF('Additional Input'!$H$40=TRUE,'Additional Input'!$D$13,0))^A22,0)+IF(('Additional Input'!$K$40)&gt;A22,'Additional Input'!$F$40*(1+IF('Additional Input'!$H$40=TRUE,'Additional Input'!$D$13,0))^A22,0))</f>
        <v>0</v>
      </c>
      <c r="G23" s="646">
        <f ca="1">IF(A23&gt;'Additional Input'!$E$11,"",-VLOOKUP(A23*12,Amortization,2))</f>
        <v>0</v>
      </c>
      <c r="H23" s="159">
        <f ca="1">IF(A23&gt;'Additional Input'!$E$11,"",IF(A23&lt;=Calculator!$F$7,Calculator!$D$7,0)+Calculator!$D$8-IF(A23&gt;3,Calculator!$H$8,0))</f>
        <v>0</v>
      </c>
      <c r="I23" s="159">
        <f ca="1">IF(A23&gt;'Additional Input'!$E$11,"",D23+E23+F23+G23+H23)</f>
        <v>27730543.877842467</v>
      </c>
      <c r="J23" s="646">
        <f ca="1">IF(A23&gt;'Additional Input'!$E$11,"",VLOOKUP(A23,Gifts,9))</f>
        <v>2656703.8528355253</v>
      </c>
      <c r="K23" s="159">
        <f ca="1">IF(A23&gt;'Additional Input'!$E$11,"",IF(Calculator!$D$20=TRUE,Calculator!$I$20,0)+IF(A23&gt;3,Calculator!$H$8,0))</f>
        <v>0</v>
      </c>
      <c r="L23" s="159">
        <f ca="1">IF(A23&gt;'Additional Input'!$E$11,"",J23+K23)</f>
        <v>2656703.8528355253</v>
      </c>
      <c r="M23" s="126">
        <f ca="1">IF(A23&gt;'Additional Input'!$E$11,"",(D23*'Additional Input'!$F$26)+(E23*'Additional Input'!$F$28)+(F23*'Additional Input'!$F$27))</f>
        <v>1109221.7551136988</v>
      </c>
      <c r="N23" s="126">
        <f ca="1">IF(A23&gt;'Additional Input'!$E$11,"",IF(('Additional Input'!$K$35)&gt;Projections!A23,'Additional Input'!$D$35*(1+IF('Additional Input'!$H$35=TRUE,'Additional Input'!$D$13,0))^Projections!A23,0)+IF(('Additional Input'!$K$36)&gt;Projections!A23,'Additional Input'!$D$36*(1+IF('Additional Input'!$H$36=TRUE,'Additional Input'!$D$13,0))^Projections!A23,0)-IF(('Additional Input'!$K$40)&gt;A23,'Additional Input'!$D$40*(1+IF('Additional Input'!$H$39=TRUE,'Additional Input'!$D$13,0))^A23,0)+IF(('Additional Input'!$F$37-'Additional Input'!$N$9)&lt;=Projections!A23,'Additional Input'!$D$37*(1+IF('Additional Input'!$H$37=TRUE,'Additional Input'!$D$13,0))^IF('Additional Input'!$K$37=TRUE,Projections!A23,Projections!A23-('Additional Input'!$F$37-'Additional Input'!$N$9)),0)+Adjustments!C23)</f>
        <v>0</v>
      </c>
      <c r="O23" s="823">
        <f ca="1">IF(A23&gt;'Additional Input'!$E$11,"",IF(('Additional Input'!$N$9+Projections!$A23)&gt;=IF('Additional Input'!$K$44=TRUE,71,70),VLOOKUP(('Additional Input'!$N$9+Projections!$A23),UniformTable,2),0))</f>
        <v>20.3</v>
      </c>
      <c r="P23" s="822">
        <f ca="1">IF(A23&gt;'Additional Input'!$E$11,"",IF($O23=0,0,$F23/$O23))</f>
        <v>0</v>
      </c>
      <c r="Q23" s="178">
        <f ca="1">IF(A23&gt;'Additional Input'!$E$11,"",IF(IF('Additional Input'!$D$44=TRUE,IF($O23=0,0,$F23/$O23),IF('Additional Input'!$F$45-'Additional Input'!$N$9&lt;=Projections!$A23,IF($F23*(1+$F$4)&lt;'Additional Input'!$D$45*IF('Additional Input'!$H$45=TRUE,(1+'Additional Input'!$D$13)^IF('Additional Input'!$K$45=TRUE,$A23,$A23-('Additional Input'!$F$45-'Additional Input'!$N$9)),1),$F23*(1+$F$4),'Additional Input'!$D$45*IF('Additional Input'!$H$45=TRUE,(1+'Additional Input'!$D$13)^IF('Additional Input'!$K$45=TRUE,$A23,$A23-('Additional Input'!$F$45-'Additional Input'!$N$9)),1)),0))&lt;$P23,$P23,IF('Additional Input'!$D$44=TRUE,IF($O23=0,0,$F23/$O23),IF('Additional Input'!$F$45-'Additional Input'!$N$9&lt;=Projections!$A23,IF($F23*(1+$F$4)&lt;'Additional Input'!$D$45*IF('Additional Input'!$H$45=TRUE,(1+'Additional Input'!$D$13)^IF('Additional Input'!$K$45=TRUE,$A23,$A23-('Additional Input'!$F$45-'Additional Input'!$N$9)),1),$F23*(1+$F$4),'Additional Input'!$D$45*IF('Additional Input'!$H$45=TRUE,(1+'Additional Input'!$D$13)^IF('Additional Input'!$K$45=TRUE,$A23,$A23-('Additional Input'!$F$45-'Additional Input'!$N$9)),1)),0)))+Adjustments!D23)</f>
        <v>0</v>
      </c>
      <c r="R23" s="571">
        <f ca="1">IF(A23&gt;'Additional Input'!$E$11,"",-((N23+Q23)*'Additional Input'!$D$12)+Adjustments!E23)</f>
        <v>0</v>
      </c>
      <c r="S23" s="571">
        <f ca="1">IF(A23&gt;'Additional Input'!$E$11,"",IF($A23&gt;='Additional Input'!$D$19,-'Additional Input'!$D$18*(1+IF('Additional Input'!$F$18=TRUE,'Additional Input'!$D$13,0))^Projections!A23,0)-TaxTables!D49+Adjustments!F23-VLOOKUP(A23,Gifts,6))</f>
        <v>-114000</v>
      </c>
      <c r="T23" s="126">
        <f ca="1">IF(A23&gt;'Additional Input'!$E$11,"",N23+Q23+R23+S23)</f>
        <v>-114000</v>
      </c>
      <c r="U23" s="367"/>
    </row>
    <row r="24" spans="1:21" ht="14.25" customHeight="1">
      <c r="A24" s="122">
        <f t="shared" si="0"/>
        <v>19</v>
      </c>
      <c r="B24" s="110" t="str">
        <f ca="1">IF(A24&gt;'Additional Input'!$E$11,"",IF('Additional Input'!$N$9="","",'Additional Input'!$N$9+Projections!A24)&amp;"/"&amp;IF('Additional Input'!$O$9="","",IF('Additional Input'!$O$9=0,"",'Additional Input'!$O$9+Projections!A24)))</f>
        <v>79/79</v>
      </c>
      <c r="C24" s="122">
        <f ca="1">IF(A24&gt;'Additional Input'!$E$11,"",+C23+1)</f>
        <v>2032</v>
      </c>
      <c r="D24" s="159">
        <f ca="1">IF(A24&gt;'Additional Input'!$E$11,"",($D23*(1+'Additional Input'!$F$26))+$N23+$Q23+$R23+$S23+VLOOKUP(A23,Gifts,6)-VLOOKUP(A24,Gifts,6))</f>
        <v>28719765.632956166</v>
      </c>
      <c r="E24" s="159">
        <f ca="1">IF(A24&gt;'Additional Input'!$E$11,"",E23*(1+'Additional Input'!$F$28))</f>
        <v>0</v>
      </c>
      <c r="F24" s="159">
        <f ca="1">IF(A24&gt;'Additional Input'!$E$11,"",($F23*(1+'Additional Input'!$F$27))-$Q23+IF(('Additional Input'!$K$40)&gt;A23,'Additional Input'!$D$40*(1+IF('Additional Input'!$H$40=TRUE,'Additional Input'!$D$13,0))^A23,0)+IF(('Additional Input'!$K$40)&gt;A23,'Additional Input'!$F$40*(1+IF('Additional Input'!$H$40=TRUE,'Additional Input'!$D$13,0))^A23,0))</f>
        <v>0</v>
      </c>
      <c r="G24" s="646">
        <f ca="1">IF(A24&gt;'Additional Input'!$E$11,"",-VLOOKUP(A24*12,Amortization,2))</f>
        <v>0</v>
      </c>
      <c r="H24" s="159">
        <f ca="1">IF(A24&gt;'Additional Input'!$E$11,"",IF(A24&lt;=Calculator!$F$7,Calculator!$D$7,0)+Calculator!$D$8-IF(A24&gt;3,Calculator!$H$8,0))</f>
        <v>0</v>
      </c>
      <c r="I24" s="159">
        <f ca="1">IF(A24&gt;'Additional Input'!$E$11,"",D24+E24+F24+G24+H24)</f>
        <v>28719765.632956166</v>
      </c>
      <c r="J24" s="646">
        <f ca="1">IF(A24&gt;'Additional Input'!$E$11,"",VLOOKUP(A24,Gifts,9))</f>
        <v>2882972.0069489465</v>
      </c>
      <c r="K24" s="159">
        <f ca="1">IF(A24&gt;'Additional Input'!$E$11,"",IF(Calculator!$D$20=TRUE,Calculator!$I$20,0)+IF(A24&gt;3,Calculator!$H$8,0))</f>
        <v>0</v>
      </c>
      <c r="L24" s="159">
        <f ca="1">IF(A24&gt;'Additional Input'!$E$11,"",J24+K24)</f>
        <v>2882972.0069489465</v>
      </c>
      <c r="M24" s="126">
        <f ca="1">IF(A24&gt;'Additional Input'!$E$11,"",(D24*'Additional Input'!$F$26)+(E24*'Additional Input'!$F$28)+(F24*'Additional Input'!$F$27))</f>
        <v>1148790.6253182467</v>
      </c>
      <c r="N24" s="126">
        <f ca="1">IF(A24&gt;'Additional Input'!$E$11,"",IF(('Additional Input'!$K$35)&gt;Projections!A24,'Additional Input'!$D$35*(1+IF('Additional Input'!$H$35=TRUE,'Additional Input'!$D$13,0))^Projections!A24,0)+IF(('Additional Input'!$K$36)&gt;Projections!A24,'Additional Input'!$D$36*(1+IF('Additional Input'!$H$36=TRUE,'Additional Input'!$D$13,0))^Projections!A24,0)-IF(('Additional Input'!$K$40)&gt;A24,'Additional Input'!$D$40*(1+IF('Additional Input'!$H$39=TRUE,'Additional Input'!$D$13,0))^A24,0)+IF(('Additional Input'!$F$37-'Additional Input'!$N$9)&lt;=Projections!A24,'Additional Input'!$D$37*(1+IF('Additional Input'!$H$37=TRUE,'Additional Input'!$D$13,0))^IF('Additional Input'!$K$37=TRUE,Projections!A24,Projections!A24-('Additional Input'!$F$37-'Additional Input'!$N$9)),0)+Adjustments!C24)</f>
        <v>0</v>
      </c>
      <c r="O24" s="823">
        <f ca="1">IF(A24&gt;'Additional Input'!$E$11,"",IF(('Additional Input'!$N$9+Projections!$A24)&gt;=IF('Additional Input'!$K$44=TRUE,71,70),VLOOKUP(('Additional Input'!$N$9+Projections!$A24),UniformTable,2),0))</f>
        <v>19.5</v>
      </c>
      <c r="P24" s="822">
        <f ca="1">IF(A24&gt;'Additional Input'!$E$11,"",IF($O24=0,0,$F24/$O24))</f>
        <v>0</v>
      </c>
      <c r="Q24" s="178">
        <f ca="1">IF(A24&gt;'Additional Input'!$E$11,"",IF(IF('Additional Input'!$D$44=TRUE,IF($O24=0,0,$F24/$O24),IF('Additional Input'!$F$45-'Additional Input'!$N$9&lt;=Projections!$A24,IF($F24*(1+$F$4)&lt;'Additional Input'!$D$45*IF('Additional Input'!$H$45=TRUE,(1+'Additional Input'!$D$13)^IF('Additional Input'!$K$45=TRUE,$A24,$A24-('Additional Input'!$F$45-'Additional Input'!$N$9)),1),$F24*(1+$F$4),'Additional Input'!$D$45*IF('Additional Input'!$H$45=TRUE,(1+'Additional Input'!$D$13)^IF('Additional Input'!$K$45=TRUE,$A24,$A24-('Additional Input'!$F$45-'Additional Input'!$N$9)),1)),0))&lt;$P24,$P24,IF('Additional Input'!$D$44=TRUE,IF($O24=0,0,$F24/$O24),IF('Additional Input'!$F$45-'Additional Input'!$N$9&lt;=Projections!$A24,IF($F24*(1+$F$4)&lt;'Additional Input'!$D$45*IF('Additional Input'!$H$45=TRUE,(1+'Additional Input'!$D$13)^IF('Additional Input'!$K$45=TRUE,$A24,$A24-('Additional Input'!$F$45-'Additional Input'!$N$9)),1),$F24*(1+$F$4),'Additional Input'!$D$45*IF('Additional Input'!$H$45=TRUE,(1+'Additional Input'!$D$13)^IF('Additional Input'!$K$45=TRUE,$A24,$A24-('Additional Input'!$F$45-'Additional Input'!$N$9)),1)),0)))+Adjustments!D24)</f>
        <v>0</v>
      </c>
      <c r="R24" s="571">
        <f ca="1">IF(A24&gt;'Additional Input'!$E$11,"",-((N24+Q24)*'Additional Input'!$D$12)+Adjustments!E24)</f>
        <v>0</v>
      </c>
      <c r="S24" s="571">
        <f ca="1">IF(A24&gt;'Additional Input'!$E$11,"",IF($A24&gt;='Additional Input'!$D$19,-'Additional Input'!$D$18*(1+IF('Additional Input'!$F$18=TRUE,'Additional Input'!$D$13,0))^Projections!A24,0)-TaxTables!D50+Adjustments!F24-VLOOKUP(A24,Gifts,6))</f>
        <v>-120000</v>
      </c>
      <c r="T24" s="126">
        <f ca="1">IF(A24&gt;'Additional Input'!$E$11,"",N24+Q24+R24+S24)</f>
        <v>-120000</v>
      </c>
      <c r="U24" s="367"/>
    </row>
    <row r="25" spans="1:21" s="119" customFormat="1" ht="14.25" customHeight="1">
      <c r="A25" s="650">
        <f t="shared" si="0"/>
        <v>20</v>
      </c>
      <c r="B25" s="651" t="str">
        <f ca="1">IF(A25&gt;'Additional Input'!$E$11,"",IF('Additional Input'!$N$9="","",'Additional Input'!$N$9+Projections!A25)&amp;"/"&amp;IF('Additional Input'!$O$9="","",IF('Additional Input'!$O$9=0,"",'Additional Input'!$O$9+Projections!A25)))</f>
        <v>80/80</v>
      </c>
      <c r="C25" s="650">
        <f ca="1">IF(A25&gt;'Additional Input'!$E$11,"",+C24+1)</f>
        <v>2033</v>
      </c>
      <c r="D25" s="652">
        <f ca="1">IF(A25&gt;'Additional Input'!$E$11,"",($D24*(1+'Additional Input'!$F$26))+$N24+$Q24+$R24+$S24+VLOOKUP(A24,Gifts,6)-VLOOKUP(A25,Gifts,6))</f>
        <v>29748556.258274414</v>
      </c>
      <c r="E25" s="653">
        <f ca="1">IF(A25&gt;'Additional Input'!$E$11,"",E24*(1+'Additional Input'!$F$28))</f>
        <v>0</v>
      </c>
      <c r="F25" s="653">
        <f ca="1">IF(A25&gt;'Additional Input'!$E$11,"",($F24*(1+'Additional Input'!$F$27))-$Q24+IF(('Additional Input'!$K$40)&gt;A24,'Additional Input'!$D$40*(1+IF('Additional Input'!$H$40=TRUE,'Additional Input'!$D$13,0))^A24,0)+IF(('Additional Input'!$K$40)&gt;A24,'Additional Input'!$F$40*(1+IF('Additional Input'!$H$40=TRUE,'Additional Input'!$D$13,0))^A24,0))</f>
        <v>0</v>
      </c>
      <c r="G25" s="853">
        <f ca="1">IF(A25&gt;'Additional Input'!$E$11,"",-VLOOKUP(A25*12,Amortization,2))</f>
        <v>0</v>
      </c>
      <c r="H25" s="652">
        <f ca="1">IF(A25&gt;'Additional Input'!$E$11,"",IF(A25&lt;=Calculator!$F$7,Calculator!$D$7,0)+Calculator!$D$8-IF(A25&gt;3,Calculator!$H$8,0))</f>
        <v>0</v>
      </c>
      <c r="I25" s="652">
        <f ca="1">IF(A25&gt;'Additional Input'!$E$11,"",D25+E25+F25+G25+H25)</f>
        <v>29748556.258274414</v>
      </c>
      <c r="J25" s="649">
        <f ca="1">IF(A25&gt;'Additional Input'!$E$11,"",VLOOKUP(A25,Gifts,9))</f>
        <v>3118290.8872269043</v>
      </c>
      <c r="K25" s="652">
        <f ca="1">IF(A25&gt;'Additional Input'!$E$11,"",IF(Calculator!$D$20=TRUE,Calculator!$I$20,0)+IF(A25&gt;3,Calculator!$H$8,0))</f>
        <v>0</v>
      </c>
      <c r="L25" s="652">
        <f ca="1">IF(A25&gt;'Additional Input'!$E$11,"",J25+K25)</f>
        <v>3118290.8872269043</v>
      </c>
      <c r="M25" s="654">
        <f ca="1">IF(A25&gt;'Additional Input'!$E$11,"",(D25*'Additional Input'!$F$26)+(E25*'Additional Input'!$F$28)+(F25*'Additional Input'!$F$27))</f>
        <v>1189942.2503309767</v>
      </c>
      <c r="N25" s="655">
        <f ca="1">IF(A25&gt;'Additional Input'!$E$11,"",IF(('Additional Input'!$K$35)&gt;Projections!A25,'Additional Input'!$D$35*(1+IF('Additional Input'!$H$35=TRUE,'Additional Input'!$D$13,0))^Projections!A25,0)+IF(('Additional Input'!$K$36)&gt;Projections!A25,'Additional Input'!$D$36*(1+IF('Additional Input'!$H$36=TRUE,'Additional Input'!$D$13,0))^Projections!A25,0)-IF(('Additional Input'!$K$40)&gt;A25,'Additional Input'!$D$40*(1+IF('Additional Input'!$H$39=TRUE,'Additional Input'!$D$13,0))^A25,0)+IF(('Additional Input'!$F$37-'Additional Input'!$N$9)&lt;=Projections!A25,'Additional Input'!$D$37*(1+IF('Additional Input'!$H$37=TRUE,'Additional Input'!$D$13,0))^IF('Additional Input'!$K$37=TRUE,Projections!A25,Projections!A25-('Additional Input'!$F$37-'Additional Input'!$N$9)),0)+Adjustments!C25)</f>
        <v>0</v>
      </c>
      <c r="O25" s="824">
        <f ca="1">IF(A25&gt;'Additional Input'!$E$11,"",IF(('Additional Input'!$N$9+Projections!$A25)&gt;=IF('Additional Input'!$K$44=TRUE,71,70),VLOOKUP(('Additional Input'!$N$9+Projections!$A25),UniformTable,2),0))</f>
        <v>18.7</v>
      </c>
      <c r="P25" s="825">
        <f ca="1">IF(A25&gt;'Additional Input'!$E$11,"",IF($O25=0,0,$F25/$O25))</f>
        <v>0</v>
      </c>
      <c r="Q25" s="655">
        <f ca="1">IF(A25&gt;'Additional Input'!$E$11,"",IF(IF('Additional Input'!$D$44=TRUE,IF($O25=0,0,$F25/$O25),IF('Additional Input'!$F$45-'Additional Input'!$N$9&lt;=Projections!$A25,IF($F25*(1+$F$4)&lt;'Additional Input'!$D$45*IF('Additional Input'!$H$45=TRUE,(1+'Additional Input'!$D$13)^IF('Additional Input'!$K$45=TRUE,$A25,$A25-('Additional Input'!$F$45-'Additional Input'!$N$9)),1),$F25*(1+$F$4),'Additional Input'!$D$45*IF('Additional Input'!$H$45=TRUE,(1+'Additional Input'!$D$13)^IF('Additional Input'!$K$45=TRUE,$A25,$A25-('Additional Input'!$F$45-'Additional Input'!$N$9)),1)),0))&lt;$P25,$P25,IF('Additional Input'!$D$44=TRUE,IF($O25=0,0,$F25/$O25),IF('Additional Input'!$F$45-'Additional Input'!$N$9&lt;=Projections!$A25,IF($F25*(1+$F$4)&lt;'Additional Input'!$D$45*IF('Additional Input'!$H$45=TRUE,(1+'Additional Input'!$D$13)^IF('Additional Input'!$K$45=TRUE,$A25,$A25-('Additional Input'!$F$45-'Additional Input'!$N$9)),1),$F25*(1+$F$4),'Additional Input'!$D$45*IF('Additional Input'!$H$45=TRUE,(1+'Additional Input'!$D$13)^IF('Additional Input'!$K$45=TRUE,$A25,$A25-('Additional Input'!$F$45-'Additional Input'!$N$9)),1)),0)))+Adjustments!D25)</f>
        <v>0</v>
      </c>
      <c r="R25" s="656">
        <f ca="1">IF(A25&gt;'Additional Input'!$E$11,"",-((N25+Q25)*'Additional Input'!$D$12)+Adjustments!E25)</f>
        <v>0</v>
      </c>
      <c r="S25" s="656">
        <f ca="1">IF(A25&gt;'Additional Input'!$E$11,"",IF($A25&gt;='Additional Input'!$D$19,-'Additional Input'!$D$18*(1+IF('Additional Input'!$F$18=TRUE,'Additional Input'!$D$13,0))^Projections!A25,0)-TaxTables!D51+Adjustments!F25-VLOOKUP(A25,Gifts,6))</f>
        <v>-120000</v>
      </c>
      <c r="T25" s="654">
        <f ca="1">IF(A25&gt;'Additional Input'!$E$11,"",N25+Q25+R25+S25)</f>
        <v>-120000</v>
      </c>
      <c r="U25" s="637"/>
    </row>
    <row r="26" spans="1:21" ht="14.25" customHeight="1">
      <c r="A26" s="122">
        <f t="shared" si="0"/>
        <v>21</v>
      </c>
      <c r="B26" s="110" t="str">
        <f ca="1">IF(A26&gt;'Additional Input'!$E$11,"",IF('Additional Input'!$N$9="","",'Additional Input'!$N$9+Projections!A26)&amp;"/"&amp;IF('Additional Input'!$O$9="","",IF('Additional Input'!$O$9=0,"",'Additional Input'!$O$9+Projections!A26)))</f>
        <v>81/81</v>
      </c>
      <c r="C26" s="122">
        <f ca="1">IF(A26&gt;'Additional Input'!$E$11,"",+C25+1)</f>
        <v>2034</v>
      </c>
      <c r="D26" s="159">
        <f ca="1">IF(A26&gt;'Additional Input'!$E$11,"",($D25*(1+'Additional Input'!$F$26))+$N25+$Q25+$R25+$S25+VLOOKUP(A25,Gifts,6)-VLOOKUP(A26,Gifts,6))</f>
        <v>30812498.508605391</v>
      </c>
      <c r="E26" s="159">
        <f ca="1">IF(A26&gt;'Additional Input'!$E$11,"",E25*(1+'Additional Input'!$F$28))</f>
        <v>0</v>
      </c>
      <c r="F26" s="159">
        <f ca="1">IF(A26&gt;'Additional Input'!$E$11,"",($F25*(1+'Additional Input'!$F$27))-$Q25+IF(('Additional Input'!$K$40)&gt;A25,'Additional Input'!$D$40*(1+IF('Additional Input'!$H$40=TRUE,'Additional Input'!$D$13,0))^A25,0)+IF(('Additional Input'!$K$40)&gt;A25,'Additional Input'!$F$40*(1+IF('Additional Input'!$H$40=TRUE,'Additional Input'!$D$13,0))^A25,0))</f>
        <v>0</v>
      </c>
      <c r="G26" s="646">
        <f ca="1">IF(A26&gt;'Additional Input'!$E$11,"",-VLOOKUP(A26*12,Amortization,2))</f>
        <v>0</v>
      </c>
      <c r="H26" s="159">
        <f ca="1">IF(A26&gt;'Additional Input'!$E$11,"",IF(A26&lt;=Calculator!$F$7,Calculator!$D$7,0)+Calculator!$D$8-IF(A26&gt;3,Calculator!$H$8,0))</f>
        <v>0</v>
      </c>
      <c r="I26" s="159">
        <f ca="1">IF(A26&gt;'Additional Input'!$E$11,"",D26+E26+F26+G26+H26)</f>
        <v>30812498.508605391</v>
      </c>
      <c r="J26" s="646">
        <f ca="1">IF(A26&gt;'Additional Input'!$E$11,"",VLOOKUP(A26,Gifts,9))</f>
        <v>3369022.5227159807</v>
      </c>
      <c r="K26" s="159">
        <f ca="1">IF(A26&gt;'Additional Input'!$E$11,"",IF(Calculator!$D$20=TRUE,Calculator!$I$20,0)+IF(A26&gt;3,Calculator!$H$8,0))</f>
        <v>0</v>
      </c>
      <c r="L26" s="159">
        <f ca="1">IF(A26&gt;'Additional Input'!$E$11,"",J26+K26)</f>
        <v>3369022.5227159807</v>
      </c>
      <c r="M26" s="126">
        <f ca="1">IF(A26&gt;'Additional Input'!$E$11,"",(D26*'Additional Input'!$F$26)+(E26*'Additional Input'!$F$28)+(F26*'Additional Input'!$F$27))</f>
        <v>1232499.9403442156</v>
      </c>
      <c r="N26" s="126">
        <f ca="1">IF(A26&gt;'Additional Input'!$E$11,"",IF(('Additional Input'!$K$35)&gt;Projections!A26,'Additional Input'!$D$35*(1+IF('Additional Input'!$H$35=TRUE,'Additional Input'!$D$13,0))^Projections!A26,0)+IF(('Additional Input'!$K$36)&gt;Projections!A26,'Additional Input'!$D$36*(1+IF('Additional Input'!$H$36=TRUE,'Additional Input'!$D$13,0))^Projections!A26,0)-IF(('Additional Input'!$K$40)&gt;A26,'Additional Input'!$D$40*(1+IF('Additional Input'!$H$39=TRUE,'Additional Input'!$D$13,0))^A26,0)+IF(('Additional Input'!$F$37-'Additional Input'!$N$9)&lt;=Projections!A26,'Additional Input'!$D$37*(1+IF('Additional Input'!$H$37=TRUE,'Additional Input'!$D$13,0))^IF('Additional Input'!$K$37=TRUE,Projections!A26,Projections!A26-('Additional Input'!$F$37-'Additional Input'!$N$9)),0)+Adjustments!C26)</f>
        <v>0</v>
      </c>
      <c r="O26" s="823">
        <f ca="1">IF(A26&gt;'Additional Input'!$E$11,"",IF(('Additional Input'!$N$9+Projections!$A26)&gt;=IF('Additional Input'!$K$44=TRUE,71,70),VLOOKUP(('Additional Input'!$N$9+Projections!$A26),UniformTable,2),0))</f>
        <v>17.899999999999999</v>
      </c>
      <c r="P26" s="822">
        <f ca="1">IF(A26&gt;'Additional Input'!$E$11,"",IF($O26=0,0,$F26/$O26))</f>
        <v>0</v>
      </c>
      <c r="Q26" s="178">
        <f ca="1">IF(A26&gt;'Additional Input'!$E$11,"",IF(IF('Additional Input'!$D$44=TRUE,IF($O26=0,0,$F26/$O26),IF('Additional Input'!$F$45-'Additional Input'!$N$9&lt;=Projections!$A26,IF($F26*(1+$F$4)&lt;'Additional Input'!$D$45*IF('Additional Input'!$H$45=TRUE,(1+'Additional Input'!$D$13)^IF('Additional Input'!$K$45=TRUE,$A26,$A26-('Additional Input'!$F$45-'Additional Input'!$N$9)),1),$F26*(1+$F$4),'Additional Input'!$D$45*IF('Additional Input'!$H$45=TRUE,(1+'Additional Input'!$D$13)^IF('Additional Input'!$K$45=TRUE,$A26,$A26-('Additional Input'!$F$45-'Additional Input'!$N$9)),1)),0))&lt;$P26,$P26,IF('Additional Input'!$D$44=TRUE,IF($O26=0,0,$F26/$O26),IF('Additional Input'!$F$45-'Additional Input'!$N$9&lt;=Projections!$A26,IF($F26*(1+$F$4)&lt;'Additional Input'!$D$45*IF('Additional Input'!$H$45=TRUE,(1+'Additional Input'!$D$13)^IF('Additional Input'!$K$45=TRUE,$A26,$A26-('Additional Input'!$F$45-'Additional Input'!$N$9)),1),$F26*(1+$F$4),'Additional Input'!$D$45*IF('Additional Input'!$H$45=TRUE,(1+'Additional Input'!$D$13)^IF('Additional Input'!$K$45=TRUE,$A26,$A26-('Additional Input'!$F$45-'Additional Input'!$N$9)),1)),0)))+Adjustments!D26)</f>
        <v>0</v>
      </c>
      <c r="R26" s="571">
        <f ca="1">IF(A26&gt;'Additional Input'!$E$11,"",-((N26+Q26)*'Additional Input'!$D$12)+Adjustments!E26)</f>
        <v>0</v>
      </c>
      <c r="S26" s="571">
        <f ca="1">IF(A26&gt;'Additional Input'!$E$11,"",IF($A26&gt;='Additional Input'!$D$19,-'Additional Input'!$D$18*(1+IF('Additional Input'!$F$18=TRUE,'Additional Input'!$D$13,0))^Projections!A26,0)-TaxTables!D52+Adjustments!F26-VLOOKUP(A26,Gifts,6))</f>
        <v>-126000</v>
      </c>
      <c r="T26" s="126">
        <f ca="1">IF(A26&gt;'Additional Input'!$E$11,"",N26+Q26+R26+S26)</f>
        <v>-126000</v>
      </c>
      <c r="U26" s="367"/>
    </row>
    <row r="27" spans="1:21" ht="14.25" customHeight="1">
      <c r="A27" s="122">
        <f t="shared" si="0"/>
        <v>22</v>
      </c>
      <c r="B27" s="110" t="str">
        <f ca="1">IF(A27&gt;'Additional Input'!$E$11,"",IF('Additional Input'!$N$9="","",'Additional Input'!$N$9+Projections!A27)&amp;"/"&amp;IF('Additional Input'!$O$9="","",IF('Additional Input'!$O$9=0,"",'Additional Input'!$O$9+Projections!A27)))</f>
        <v>82/82</v>
      </c>
      <c r="C27" s="122">
        <f ca="1">IF(A27&gt;'Additional Input'!$E$11,"",+C26+1)</f>
        <v>2035</v>
      </c>
      <c r="D27" s="159">
        <f ca="1">IF(A27&gt;'Additional Input'!$E$11,"",($D26*(1+'Additional Input'!$F$26))+$N26+$Q26+$R26+$S26+VLOOKUP(A26,Gifts,6)-VLOOKUP(A27,Gifts,6))</f>
        <v>31918998.448949609</v>
      </c>
      <c r="E27" s="159">
        <f ca="1">IF(A27&gt;'Additional Input'!$E$11,"",E26*(1+'Additional Input'!$F$28))</f>
        <v>0</v>
      </c>
      <c r="F27" s="159">
        <f ca="1">IF(A27&gt;'Additional Input'!$E$11,"",($F26*(1+'Additional Input'!$F$27))-$Q26+IF(('Additional Input'!$K$40)&gt;A26,'Additional Input'!$D$40*(1+IF('Additional Input'!$H$40=TRUE,'Additional Input'!$D$13,0))^A26,0)+IF(('Additional Input'!$K$40)&gt;A26,'Additional Input'!$F$40*(1+IF('Additional Input'!$H$40=TRUE,'Additional Input'!$D$13,0))^A26,0))</f>
        <v>0</v>
      </c>
      <c r="G27" s="646">
        <f ca="1">IF(A27&gt;'Additional Input'!$E$11,"",-VLOOKUP(A27*12,Amortization,2))</f>
        <v>0</v>
      </c>
      <c r="H27" s="159">
        <f ca="1">IF(A27&gt;'Additional Input'!$E$11,"",IF(A27&lt;=Calculator!$F$7,Calculator!$D$7,0)+Calculator!$D$8-IF(A27&gt;3,Calculator!$H$8,0))</f>
        <v>0</v>
      </c>
      <c r="I27" s="159">
        <f ca="1">IF(A27&gt;'Additional Input'!$E$11,"",D27+E27+F27+G27+H27)</f>
        <v>31918998.448949609</v>
      </c>
      <c r="J27" s="646">
        <f ca="1">IF(A27&gt;'Additional Input'!$E$11,"",VLOOKUP(A27,Gifts,9))</f>
        <v>3629783.4236246198</v>
      </c>
      <c r="K27" s="159">
        <f ca="1">IF(A27&gt;'Additional Input'!$E$11,"",IF(Calculator!$D$20=TRUE,Calculator!$I$20,0)+IF(A27&gt;3,Calculator!$H$8,0))</f>
        <v>0</v>
      </c>
      <c r="L27" s="159">
        <f ca="1">IF(A27&gt;'Additional Input'!$E$11,"",J27+K27)</f>
        <v>3629783.4236246198</v>
      </c>
      <c r="M27" s="126">
        <f ca="1">IF(A27&gt;'Additional Input'!$E$11,"",(D27*'Additional Input'!$F$26)+(E27*'Additional Input'!$F$28)+(F27*'Additional Input'!$F$27))</f>
        <v>1276759.9379579844</v>
      </c>
      <c r="N27" s="126">
        <f ca="1">IF(A27&gt;'Additional Input'!$E$11,"",IF(('Additional Input'!$K$35)&gt;Projections!A27,'Additional Input'!$D$35*(1+IF('Additional Input'!$H$35=TRUE,'Additional Input'!$D$13,0))^Projections!A27,0)+IF(('Additional Input'!$K$36)&gt;Projections!A27,'Additional Input'!$D$36*(1+IF('Additional Input'!$H$36=TRUE,'Additional Input'!$D$13,0))^Projections!A27,0)-IF(('Additional Input'!$K$40)&gt;A27,'Additional Input'!$D$40*(1+IF('Additional Input'!$H$39=TRUE,'Additional Input'!$D$13,0))^A27,0)+IF(('Additional Input'!$F$37-'Additional Input'!$N$9)&lt;=Projections!A27,'Additional Input'!$D$37*(1+IF('Additional Input'!$H$37=TRUE,'Additional Input'!$D$13,0))^IF('Additional Input'!$K$37=TRUE,Projections!A27,Projections!A27-('Additional Input'!$F$37-'Additional Input'!$N$9)),0)+Adjustments!C27)</f>
        <v>0</v>
      </c>
      <c r="O27" s="823">
        <f ca="1">IF(A27&gt;'Additional Input'!$E$11,"",IF(('Additional Input'!$N$9+Projections!$A27)&gt;=IF('Additional Input'!$K$44=TRUE,71,70),VLOOKUP(('Additional Input'!$N$9+Projections!$A27),UniformTable,2),0))</f>
        <v>17.100000000000001</v>
      </c>
      <c r="P27" s="822">
        <f ca="1">IF(A27&gt;'Additional Input'!$E$11,"",IF($O27=0,0,$F27/$O27))</f>
        <v>0</v>
      </c>
      <c r="Q27" s="178">
        <f ca="1">IF(A27&gt;'Additional Input'!$E$11,"",IF(IF('Additional Input'!$D$44=TRUE,IF($O27=0,0,$F27/$O27),IF('Additional Input'!$F$45-'Additional Input'!$N$9&lt;=Projections!$A27,IF($F27*(1+$F$4)&lt;'Additional Input'!$D$45*IF('Additional Input'!$H$45=TRUE,(1+'Additional Input'!$D$13)^IF('Additional Input'!$K$45=TRUE,$A27,$A27-('Additional Input'!$F$45-'Additional Input'!$N$9)),1),$F27*(1+$F$4),'Additional Input'!$D$45*IF('Additional Input'!$H$45=TRUE,(1+'Additional Input'!$D$13)^IF('Additional Input'!$K$45=TRUE,$A27,$A27-('Additional Input'!$F$45-'Additional Input'!$N$9)),1)),0))&lt;$P27,$P27,IF('Additional Input'!$D$44=TRUE,IF($O27=0,0,$F27/$O27),IF('Additional Input'!$F$45-'Additional Input'!$N$9&lt;=Projections!$A27,IF($F27*(1+$F$4)&lt;'Additional Input'!$D$45*IF('Additional Input'!$H$45=TRUE,(1+'Additional Input'!$D$13)^IF('Additional Input'!$K$45=TRUE,$A27,$A27-('Additional Input'!$F$45-'Additional Input'!$N$9)),1),$F27*(1+$F$4),'Additional Input'!$D$45*IF('Additional Input'!$H$45=TRUE,(1+'Additional Input'!$D$13)^IF('Additional Input'!$K$45=TRUE,$A27,$A27-('Additional Input'!$F$45-'Additional Input'!$N$9)),1)),0)))+Adjustments!D27)</f>
        <v>0</v>
      </c>
      <c r="R27" s="571">
        <f ca="1">IF(A27&gt;'Additional Input'!$E$11,"",-((N27+Q27)*'Additional Input'!$D$12)+Adjustments!E27)</f>
        <v>0</v>
      </c>
      <c r="S27" s="571">
        <f ca="1">IF(A27&gt;'Additional Input'!$E$11,"",IF($A27&gt;='Additional Input'!$D$19,-'Additional Input'!$D$18*(1+IF('Additional Input'!$F$18=TRUE,'Additional Input'!$D$13,0))^Projections!A27,0)-TaxTables!D53+Adjustments!F27-VLOOKUP(A27,Gifts,6))</f>
        <v>-126000</v>
      </c>
      <c r="T27" s="126">
        <f ca="1">IF(A27&gt;'Additional Input'!$E$11,"",N27+Q27+R27+S27)</f>
        <v>-126000</v>
      </c>
      <c r="U27" s="367"/>
    </row>
    <row r="28" spans="1:21" ht="14.25" customHeight="1">
      <c r="A28" s="122">
        <f t="shared" si="0"/>
        <v>23</v>
      </c>
      <c r="B28" s="110" t="str">
        <f ca="1">IF(A28&gt;'Additional Input'!$E$11,"",IF('Additional Input'!$N$9="","",'Additional Input'!$N$9+Projections!A28)&amp;"/"&amp;IF('Additional Input'!$O$9="","",IF('Additional Input'!$O$9=0,"",'Additional Input'!$O$9+Projections!A28)))</f>
        <v>83/83</v>
      </c>
      <c r="C28" s="122">
        <f ca="1">IF(A28&gt;'Additional Input'!$E$11,"",+C27+1)</f>
        <v>2036</v>
      </c>
      <c r="D28" s="159">
        <f ca="1">IF(A28&gt;'Additional Input'!$E$11,"",($D27*(1+'Additional Input'!$F$26))+$N27+$Q27+$R27+$S27+VLOOKUP(A27,Gifts,6)-VLOOKUP(A28,Gifts,6))</f>
        <v>33063758.386907596</v>
      </c>
      <c r="E28" s="159">
        <f ca="1">IF(A28&gt;'Additional Input'!$E$11,"",E27*(1+'Additional Input'!$F$28))</f>
        <v>0</v>
      </c>
      <c r="F28" s="159">
        <f ca="1">IF(A28&gt;'Additional Input'!$E$11,"",($F27*(1+'Additional Input'!$F$27))-$Q27+IF(('Additional Input'!$K$40)&gt;A27,'Additional Input'!$D$40*(1+IF('Additional Input'!$H$40=TRUE,'Additional Input'!$D$13,0))^A27,0)+IF(('Additional Input'!$K$40)&gt;A27,'Additional Input'!$F$40*(1+IF('Additional Input'!$H$40=TRUE,'Additional Input'!$D$13,0))^A27,0))</f>
        <v>0</v>
      </c>
      <c r="G28" s="646">
        <f ca="1">IF(A28&gt;'Additional Input'!$E$11,"",-VLOOKUP(A28*12,Amortization,2))</f>
        <v>0</v>
      </c>
      <c r="H28" s="159">
        <f ca="1">IF(A28&gt;'Additional Input'!$E$11,"",IF(A28&lt;=Calculator!$F$7,Calculator!$D$7,0)+Calculator!$D$8-IF(A28&gt;3,Calculator!$H$8,0))</f>
        <v>0</v>
      </c>
      <c r="I28" s="159">
        <f ca="1">IF(A28&gt;'Additional Input'!$E$11,"",D28+E28+F28+G28+H28)</f>
        <v>33063758.386907596</v>
      </c>
      <c r="J28" s="646">
        <f ca="1">IF(A28&gt;'Additional Input'!$E$11,"",VLOOKUP(A28,Gifts,9))</f>
        <v>3906974.7605696046</v>
      </c>
      <c r="K28" s="159">
        <f ca="1">IF(A28&gt;'Additional Input'!$E$11,"",IF(Calculator!$D$20=TRUE,Calculator!$I$20,0)+IF(A28&gt;3,Calculator!$H$8,0))</f>
        <v>0</v>
      </c>
      <c r="L28" s="159">
        <f ca="1">IF(A28&gt;'Additional Input'!$E$11,"",J28+K28)</f>
        <v>3906974.7605696046</v>
      </c>
      <c r="M28" s="126">
        <f ca="1">IF(A28&gt;'Additional Input'!$E$11,"",(D28*'Additional Input'!$F$26)+(E28*'Additional Input'!$F$28)+(F28*'Additional Input'!$F$27))</f>
        <v>1322550.3354763039</v>
      </c>
      <c r="N28" s="126">
        <f ca="1">IF(A28&gt;'Additional Input'!$E$11,"",IF(('Additional Input'!$K$35)&gt;Projections!A28,'Additional Input'!$D$35*(1+IF('Additional Input'!$H$35=TRUE,'Additional Input'!$D$13,0))^Projections!A28,0)+IF(('Additional Input'!$K$36)&gt;Projections!A28,'Additional Input'!$D$36*(1+IF('Additional Input'!$H$36=TRUE,'Additional Input'!$D$13,0))^Projections!A28,0)-IF(('Additional Input'!$K$40)&gt;A28,'Additional Input'!$D$40*(1+IF('Additional Input'!$H$39=TRUE,'Additional Input'!$D$13,0))^A28,0)+IF(('Additional Input'!$F$37-'Additional Input'!$N$9)&lt;=Projections!A28,'Additional Input'!$D$37*(1+IF('Additional Input'!$H$37=TRUE,'Additional Input'!$D$13,0))^IF('Additional Input'!$K$37=TRUE,Projections!A28,Projections!A28-('Additional Input'!$F$37-'Additional Input'!$N$9)),0)+Adjustments!C28)</f>
        <v>0</v>
      </c>
      <c r="O28" s="823">
        <f ca="1">IF(A28&gt;'Additional Input'!$E$11,"",IF(('Additional Input'!$N$9+Projections!$A28)&gt;=IF('Additional Input'!$K$44=TRUE,71,70),VLOOKUP(('Additional Input'!$N$9+Projections!$A28),UniformTable,2),0))</f>
        <v>16.3</v>
      </c>
      <c r="P28" s="822">
        <f ca="1">IF(A28&gt;'Additional Input'!$E$11,"",IF($O28=0,0,$F28/$O28))</f>
        <v>0</v>
      </c>
      <c r="Q28" s="178">
        <f ca="1">IF(A28&gt;'Additional Input'!$E$11,"",IF(IF('Additional Input'!$D$44=TRUE,IF($O28=0,0,$F28/$O28),IF('Additional Input'!$F$45-'Additional Input'!$N$9&lt;=Projections!$A28,IF($F28*(1+$F$4)&lt;'Additional Input'!$D$45*IF('Additional Input'!$H$45=TRUE,(1+'Additional Input'!$D$13)^IF('Additional Input'!$K$45=TRUE,$A28,$A28-('Additional Input'!$F$45-'Additional Input'!$N$9)),1),$F28*(1+$F$4),'Additional Input'!$D$45*IF('Additional Input'!$H$45=TRUE,(1+'Additional Input'!$D$13)^IF('Additional Input'!$K$45=TRUE,$A28,$A28-('Additional Input'!$F$45-'Additional Input'!$N$9)),1)),0))&lt;$P28,$P28,IF('Additional Input'!$D$44=TRUE,IF($O28=0,0,$F28/$O28),IF('Additional Input'!$F$45-'Additional Input'!$N$9&lt;=Projections!$A28,IF($F28*(1+$F$4)&lt;'Additional Input'!$D$45*IF('Additional Input'!$H$45=TRUE,(1+'Additional Input'!$D$13)^IF('Additional Input'!$K$45=TRUE,$A28,$A28-('Additional Input'!$F$45-'Additional Input'!$N$9)),1),$F28*(1+$F$4),'Additional Input'!$D$45*IF('Additional Input'!$H$45=TRUE,(1+'Additional Input'!$D$13)^IF('Additional Input'!$K$45=TRUE,$A28,$A28-('Additional Input'!$F$45-'Additional Input'!$N$9)),1)),0)))+Adjustments!D28)</f>
        <v>0</v>
      </c>
      <c r="R28" s="571">
        <f ca="1">IF(A28&gt;'Additional Input'!$E$11,"",-((N28+Q28)*'Additional Input'!$D$12)+Adjustments!E28)</f>
        <v>0</v>
      </c>
      <c r="S28" s="571">
        <f ca="1">IF(A28&gt;'Additional Input'!$E$11,"",IF($A28&gt;='Additional Input'!$D$19,-'Additional Input'!$D$18*(1+IF('Additional Input'!$F$18=TRUE,'Additional Input'!$D$13,0))^Projections!A28,0)-TaxTables!D54+Adjustments!F28-VLOOKUP(A28,Gifts,6))</f>
        <v>-132000</v>
      </c>
      <c r="T28" s="126">
        <f ca="1">IF(A28&gt;'Additional Input'!$E$11,"",N28+Q28+R28+S28)</f>
        <v>-132000</v>
      </c>
      <c r="U28" s="367"/>
    </row>
    <row r="29" spans="1:21" ht="14.25" customHeight="1">
      <c r="A29" s="122">
        <f t="shared" si="0"/>
        <v>24</v>
      </c>
      <c r="B29" s="110" t="str">
        <f ca="1">IF(A29&gt;'Additional Input'!$E$11,"",IF('Additional Input'!$N$9="","",'Additional Input'!$N$9+Projections!A29)&amp;"/"&amp;IF('Additional Input'!$O$9="","",IF('Additional Input'!$O$9=0,"",'Additional Input'!$O$9+Projections!A29)))</f>
        <v>84/84</v>
      </c>
      <c r="C29" s="122">
        <f ca="1">IF(A29&gt;'Additional Input'!$E$11,"",+C28+1)</f>
        <v>2037</v>
      </c>
      <c r="D29" s="159">
        <f ca="1">IF(A29&gt;'Additional Input'!$E$11,"",($D28*(1+'Additional Input'!$F$26))+$N28+$Q28+$R28+$S28+VLOOKUP(A28,Gifts,6)-VLOOKUP(A29,Gifts,6))</f>
        <v>34254308.722383901</v>
      </c>
      <c r="E29" s="159">
        <f ca="1">IF(A29&gt;'Additional Input'!$E$11,"",E28*(1+'Additional Input'!$F$28))</f>
        <v>0</v>
      </c>
      <c r="F29" s="159">
        <f ca="1">IF(A29&gt;'Additional Input'!$E$11,"",($F28*(1+'Additional Input'!$F$27))-$Q28+IF(('Additional Input'!$K$40)&gt;A28,'Additional Input'!$D$40*(1+IF('Additional Input'!$H$40=TRUE,'Additional Input'!$D$13,0))^A28,0)+IF(('Additional Input'!$K$40)&gt;A28,'Additional Input'!$F$40*(1+IF('Additional Input'!$H$40=TRUE,'Additional Input'!$D$13,0))^A28,0))</f>
        <v>0</v>
      </c>
      <c r="G29" s="646">
        <f ca="1">IF(A29&gt;'Additional Input'!$E$11,"",-VLOOKUP(A29*12,Amortization,2))</f>
        <v>0</v>
      </c>
      <c r="H29" s="159">
        <f ca="1">IF(A29&gt;'Additional Input'!$E$11,"",IF(A29&lt;=Calculator!$F$7,Calculator!$D$7,0)+Calculator!$D$8-IF(A29&gt;3,Calculator!$H$8,0))</f>
        <v>0</v>
      </c>
      <c r="I29" s="159">
        <f ca="1">IF(A29&gt;'Additional Input'!$E$11,"",D29+E29+F29+G29+H29)</f>
        <v>34254308.722383901</v>
      </c>
      <c r="J29" s="646">
        <f ca="1">IF(A29&gt;'Additional Input'!$E$11,"",VLOOKUP(A29,Gifts,9))</f>
        <v>4195253.7509923894</v>
      </c>
      <c r="K29" s="159">
        <f ca="1">IF(A29&gt;'Additional Input'!$E$11,"",IF(Calculator!$D$20=TRUE,Calculator!$I$20,0)+IF(A29&gt;3,Calculator!$H$8,0))</f>
        <v>0</v>
      </c>
      <c r="L29" s="159">
        <f ca="1">IF(A29&gt;'Additional Input'!$E$11,"",J29+K29)</f>
        <v>4195253.7509923894</v>
      </c>
      <c r="M29" s="126">
        <f ca="1">IF(A29&gt;'Additional Input'!$E$11,"",(D29*'Additional Input'!$F$26)+(E29*'Additional Input'!$F$28)+(F29*'Additional Input'!$F$27))</f>
        <v>1370172.3488953561</v>
      </c>
      <c r="N29" s="126">
        <f ca="1">IF(A29&gt;'Additional Input'!$E$11,"",IF(('Additional Input'!$K$35)&gt;Projections!A29,'Additional Input'!$D$35*(1+IF('Additional Input'!$H$35=TRUE,'Additional Input'!$D$13,0))^Projections!A29,0)+IF(('Additional Input'!$K$36)&gt;Projections!A29,'Additional Input'!$D$36*(1+IF('Additional Input'!$H$36=TRUE,'Additional Input'!$D$13,0))^Projections!A29,0)-IF(('Additional Input'!$K$40)&gt;A29,'Additional Input'!$D$40*(1+IF('Additional Input'!$H$39=TRUE,'Additional Input'!$D$13,0))^A29,0)+IF(('Additional Input'!$F$37-'Additional Input'!$N$9)&lt;=Projections!A29,'Additional Input'!$D$37*(1+IF('Additional Input'!$H$37=TRUE,'Additional Input'!$D$13,0))^IF('Additional Input'!$K$37=TRUE,Projections!A29,Projections!A29-('Additional Input'!$F$37-'Additional Input'!$N$9)),0)+Adjustments!C29)</f>
        <v>0</v>
      </c>
      <c r="O29" s="823">
        <f ca="1">IF(A29&gt;'Additional Input'!$E$11,"",IF(('Additional Input'!$N$9+Projections!$A29)&gt;=IF('Additional Input'!$K$44=TRUE,71,70),VLOOKUP(('Additional Input'!$N$9+Projections!$A29),UniformTable,2),0))</f>
        <v>15.5</v>
      </c>
      <c r="P29" s="822">
        <f ca="1">IF(A29&gt;'Additional Input'!$E$11,"",IF($O29=0,0,$F29/$O29))</f>
        <v>0</v>
      </c>
      <c r="Q29" s="178">
        <f ca="1">IF(A29&gt;'Additional Input'!$E$11,"",IF(IF('Additional Input'!$D$44=TRUE,IF($O29=0,0,$F29/$O29),IF('Additional Input'!$F$45-'Additional Input'!$N$9&lt;=Projections!$A29,IF($F29*(1+$F$4)&lt;'Additional Input'!$D$45*IF('Additional Input'!$H$45=TRUE,(1+'Additional Input'!$D$13)^IF('Additional Input'!$K$45=TRUE,$A29,$A29-('Additional Input'!$F$45-'Additional Input'!$N$9)),1),$F29*(1+$F$4),'Additional Input'!$D$45*IF('Additional Input'!$H$45=TRUE,(1+'Additional Input'!$D$13)^IF('Additional Input'!$K$45=TRUE,$A29,$A29-('Additional Input'!$F$45-'Additional Input'!$N$9)),1)),0))&lt;$P29,$P29,IF('Additional Input'!$D$44=TRUE,IF($O29=0,0,$F29/$O29),IF('Additional Input'!$F$45-'Additional Input'!$N$9&lt;=Projections!$A29,IF($F29*(1+$F$4)&lt;'Additional Input'!$D$45*IF('Additional Input'!$H$45=TRUE,(1+'Additional Input'!$D$13)^IF('Additional Input'!$K$45=TRUE,$A29,$A29-('Additional Input'!$F$45-'Additional Input'!$N$9)),1),$F29*(1+$F$4),'Additional Input'!$D$45*IF('Additional Input'!$H$45=TRUE,(1+'Additional Input'!$D$13)^IF('Additional Input'!$K$45=TRUE,$A29,$A29-('Additional Input'!$F$45-'Additional Input'!$N$9)),1)),0)))+Adjustments!D29)</f>
        <v>0</v>
      </c>
      <c r="R29" s="571">
        <f ca="1">IF(A29&gt;'Additional Input'!$E$11,"",-((N29+Q29)*'Additional Input'!$D$12)+Adjustments!E29)</f>
        <v>0</v>
      </c>
      <c r="S29" s="571">
        <f ca="1">IF(A29&gt;'Additional Input'!$E$11,"",IF($A29&gt;='Additional Input'!$D$19,-'Additional Input'!$D$18*(1+IF('Additional Input'!$F$18=TRUE,'Additional Input'!$D$13,0))^Projections!A29,0)-TaxTables!D55+Adjustments!F29-VLOOKUP(A29,Gifts,6))</f>
        <v>-132000</v>
      </c>
      <c r="T29" s="126">
        <f ca="1">IF(A29&gt;'Additional Input'!$E$11,"",N29+Q29+R29+S29)</f>
        <v>-132000</v>
      </c>
      <c r="U29" s="367"/>
    </row>
    <row r="30" spans="1:21" s="119" customFormat="1" ht="14.25" customHeight="1">
      <c r="A30" s="650">
        <f t="shared" si="0"/>
        <v>25</v>
      </c>
      <c r="B30" s="651" t="str">
        <f ca="1">IF(A30&gt;'Additional Input'!$E$11,"",IF('Additional Input'!$N$9="","",'Additional Input'!$N$9+Projections!A30)&amp;"/"&amp;IF('Additional Input'!$O$9="","",IF('Additional Input'!$O$9=0,"",'Additional Input'!$O$9+Projections!A30)))</f>
        <v>85/85</v>
      </c>
      <c r="C30" s="650">
        <f ca="1">IF(A30&gt;'Additional Input'!$E$11,"",+C29+1)</f>
        <v>2038</v>
      </c>
      <c r="D30" s="652">
        <f ca="1">IF(A30&gt;'Additional Input'!$E$11,"",($D29*(1+'Additional Input'!$F$26))+$N29+$Q29+$R29+$S29+VLOOKUP(A29,Gifts,6)-VLOOKUP(A30,Gifts,6))</f>
        <v>35492481.071279258</v>
      </c>
      <c r="E30" s="653">
        <f ca="1">IF(A30&gt;'Additional Input'!$E$11,"",E29*(1+'Additional Input'!$F$28))</f>
        <v>0</v>
      </c>
      <c r="F30" s="653">
        <f ca="1">IF(A30&gt;'Additional Input'!$E$11,"",($F29*(1+'Additional Input'!$F$27))-$Q29+IF(('Additional Input'!$K$40)&gt;A29,'Additional Input'!$D$40*(1+IF('Additional Input'!$H$40=TRUE,'Additional Input'!$D$13,0))^A29,0)+IF(('Additional Input'!$K$40)&gt;A29,'Additional Input'!$F$40*(1+IF('Additional Input'!$H$40=TRUE,'Additional Input'!$D$13,0))^A29,0))</f>
        <v>0</v>
      </c>
      <c r="G30" s="853">
        <f ca="1">IF(A30&gt;'Additional Input'!$E$11,"",-VLOOKUP(A30*12,Amortization,2))</f>
        <v>0</v>
      </c>
      <c r="H30" s="652">
        <f ca="1">IF(A30&gt;'Additional Input'!$E$11,"",IF(A30&lt;=Calculator!$F$7,Calculator!$D$7,0)+Calculator!$D$8-IF(A30&gt;3,Calculator!$H$8,0))</f>
        <v>0</v>
      </c>
      <c r="I30" s="652">
        <f ca="1">IF(A30&gt;'Additional Input'!$E$11,"",D30+E30+F30+G30+H30)</f>
        <v>35492481.071279258</v>
      </c>
      <c r="J30" s="649">
        <f ca="1">IF(A30&gt;'Additional Input'!$E$11,"",VLOOKUP(A30,Gifts,9))</f>
        <v>4495063.9010320855</v>
      </c>
      <c r="K30" s="652">
        <f ca="1">IF(A30&gt;'Additional Input'!$E$11,"",IF(Calculator!$D$20=TRUE,Calculator!$I$20,0)+IF(A30&gt;3,Calculator!$H$8,0))</f>
        <v>0</v>
      </c>
      <c r="L30" s="652">
        <f ca="1">IF(A30&gt;'Additional Input'!$E$11,"",J30+K30)</f>
        <v>4495063.9010320855</v>
      </c>
      <c r="M30" s="654">
        <f ca="1">IF(A30&gt;'Additional Input'!$E$11,"",(D30*'Additional Input'!$F$26)+(E30*'Additional Input'!$F$28)+(F30*'Additional Input'!$F$27))</f>
        <v>1419699.2428511702</v>
      </c>
      <c r="N30" s="655">
        <f ca="1">IF(A30&gt;'Additional Input'!$E$11,"",IF(('Additional Input'!$K$35)&gt;Projections!A30,'Additional Input'!$D$35*(1+IF('Additional Input'!$H$35=TRUE,'Additional Input'!$D$13,0))^Projections!A30,0)+IF(('Additional Input'!$K$36)&gt;Projections!A30,'Additional Input'!$D$36*(1+IF('Additional Input'!$H$36=TRUE,'Additional Input'!$D$13,0))^Projections!A30,0)-IF(('Additional Input'!$K$40)&gt;A30,'Additional Input'!$D$40*(1+IF('Additional Input'!$H$39=TRUE,'Additional Input'!$D$13,0))^A30,0)+IF(('Additional Input'!$F$37-'Additional Input'!$N$9)&lt;=Projections!A30,'Additional Input'!$D$37*(1+IF('Additional Input'!$H$37=TRUE,'Additional Input'!$D$13,0))^IF('Additional Input'!$K$37=TRUE,Projections!A30,Projections!A30-('Additional Input'!$F$37-'Additional Input'!$N$9)),0)+Adjustments!C30)</f>
        <v>0</v>
      </c>
      <c r="O30" s="824">
        <f ca="1">IF(A30&gt;'Additional Input'!$E$11,"",IF(('Additional Input'!$N$9+Projections!$A30)&gt;=IF('Additional Input'!$K$44=TRUE,71,70),VLOOKUP(('Additional Input'!$N$9+Projections!$A30),UniformTable,2),0))</f>
        <v>14.8</v>
      </c>
      <c r="P30" s="825">
        <f ca="1">IF(A30&gt;'Additional Input'!$E$11,"",IF($O30=0,0,$F30/$O30))</f>
        <v>0</v>
      </c>
      <c r="Q30" s="655">
        <f ca="1">IF(A30&gt;'Additional Input'!$E$11,"",IF(IF('Additional Input'!$D$44=TRUE,IF($O30=0,0,$F30/$O30),IF('Additional Input'!$F$45-'Additional Input'!$N$9&lt;=Projections!$A30,IF($F30*(1+$F$4)&lt;'Additional Input'!$D$45*IF('Additional Input'!$H$45=TRUE,(1+'Additional Input'!$D$13)^IF('Additional Input'!$K$45=TRUE,$A30,$A30-('Additional Input'!$F$45-'Additional Input'!$N$9)),1),$F30*(1+$F$4),'Additional Input'!$D$45*IF('Additional Input'!$H$45=TRUE,(1+'Additional Input'!$D$13)^IF('Additional Input'!$K$45=TRUE,$A30,$A30-('Additional Input'!$F$45-'Additional Input'!$N$9)),1)),0))&lt;$P30,$P30,IF('Additional Input'!$D$44=TRUE,IF($O30=0,0,$F30/$O30),IF('Additional Input'!$F$45-'Additional Input'!$N$9&lt;=Projections!$A30,IF($F30*(1+$F$4)&lt;'Additional Input'!$D$45*IF('Additional Input'!$H$45=TRUE,(1+'Additional Input'!$D$13)^IF('Additional Input'!$K$45=TRUE,$A30,$A30-('Additional Input'!$F$45-'Additional Input'!$N$9)),1),$F30*(1+$F$4),'Additional Input'!$D$45*IF('Additional Input'!$H$45=TRUE,(1+'Additional Input'!$D$13)^IF('Additional Input'!$K$45=TRUE,$A30,$A30-('Additional Input'!$F$45-'Additional Input'!$N$9)),1)),0)))+Adjustments!D30)</f>
        <v>0</v>
      </c>
      <c r="R30" s="656">
        <f ca="1">IF(A30&gt;'Additional Input'!$E$11,"",-((N30+Q30)*'Additional Input'!$D$12)+Adjustments!E30)</f>
        <v>0</v>
      </c>
      <c r="S30" s="656">
        <f ca="1">IF(A30&gt;'Additional Input'!$E$11,"",IF($A30&gt;='Additional Input'!$D$19,-'Additional Input'!$D$18*(1+IF('Additional Input'!$F$18=TRUE,'Additional Input'!$D$13,0))^Projections!A30,0)-TaxTables!D56+Adjustments!F30-VLOOKUP(A30,Gifts,6))</f>
        <v>-132000</v>
      </c>
      <c r="T30" s="654">
        <f ca="1">IF(A30&gt;'Additional Input'!$E$11,"",N30+Q30+R30+S30)</f>
        <v>-132000</v>
      </c>
      <c r="U30" s="637"/>
    </row>
    <row r="31" spans="1:21" ht="14.25" customHeight="1">
      <c r="A31" s="122">
        <f t="shared" si="0"/>
        <v>26</v>
      </c>
      <c r="B31" s="110" t="str">
        <f ca="1">IF(A31&gt;'Additional Input'!$E$11,"",IF('Additional Input'!$N$9="","",'Additional Input'!$N$9+Projections!A31)&amp;"/"&amp;IF('Additional Input'!$O$9="","",IF('Additional Input'!$O$9=0,"",'Additional Input'!$O$9+Projections!A31)))</f>
        <v>86/86</v>
      </c>
      <c r="C31" s="122">
        <f ca="1">IF(A31&gt;'Additional Input'!$E$11,"",+C30+1)</f>
        <v>2039</v>
      </c>
      <c r="D31" s="159">
        <f ca="1">IF(A31&gt;'Additional Input'!$E$11,"",($D30*(1+'Additional Input'!$F$26))+$N30+$Q30+$R30+$S30+VLOOKUP(A30,Gifts,6)-VLOOKUP(A31,Gifts,6))</f>
        <v>36774180.314130425</v>
      </c>
      <c r="E31" s="159">
        <f ca="1">IF(A31&gt;'Additional Input'!$E$11,"",E30*(1+'Additional Input'!$F$28))</f>
        <v>0</v>
      </c>
      <c r="F31" s="159">
        <f ca="1">IF(A31&gt;'Additional Input'!$E$11,"",($F30*(1+'Additional Input'!$F$27))-$Q30+IF(('Additional Input'!$K$40)&gt;A30,'Additional Input'!$D$40*(1+IF('Additional Input'!$H$40=TRUE,'Additional Input'!$D$13,0))^A30,0)+IF(('Additional Input'!$K$40)&gt;A30,'Additional Input'!$F$40*(1+IF('Additional Input'!$H$40=TRUE,'Additional Input'!$D$13,0))^A30,0))</f>
        <v>0</v>
      </c>
      <c r="G31" s="646">
        <f ca="1">IF(A31&gt;'Additional Input'!$E$11,"",-VLOOKUP(A31*12,Amortization,2))</f>
        <v>0</v>
      </c>
      <c r="H31" s="159">
        <f ca="1">IF(A31&gt;'Additional Input'!$E$11,"",IF(A31&lt;=Calculator!$F$7,Calculator!$D$7,0)+Calculator!$D$8-IF(A31&gt;3,Calculator!$H$8,0))</f>
        <v>0</v>
      </c>
      <c r="I31" s="159">
        <f ca="1">IF(A31&gt;'Additional Input'!$E$11,"",D31+E31+F31+G31+H31)</f>
        <v>36774180.314130425</v>
      </c>
      <c r="J31" s="646">
        <f ca="1">IF(A31&gt;'Additional Input'!$E$11,"",VLOOKUP(A31,Gifts,9))</f>
        <v>4812866.4570733691</v>
      </c>
      <c r="K31" s="159">
        <f ca="1">IF(A31&gt;'Additional Input'!$E$11,"",IF(Calculator!$D$20=TRUE,Calculator!$I$20,0)+IF(A31&gt;3,Calculator!$H$8,0))</f>
        <v>0</v>
      </c>
      <c r="L31" s="159">
        <f ca="1">IF(A31&gt;'Additional Input'!$E$11,"",J31+K31)</f>
        <v>4812866.4570733691</v>
      </c>
      <c r="M31" s="126">
        <f ca="1">IF(A31&gt;'Additional Input'!$E$11,"",(D31*'Additional Input'!$F$26)+(E31*'Additional Input'!$F$28)+(F31*'Additional Input'!$F$27))</f>
        <v>1470967.2125652169</v>
      </c>
      <c r="N31" s="126">
        <f ca="1">IF(A31&gt;'Additional Input'!$E$11,"",IF(('Additional Input'!$K$35)&gt;Projections!A31,'Additional Input'!$D$35*(1+IF('Additional Input'!$H$35=TRUE,'Additional Input'!$D$13,0))^Projections!A31,0)+IF(('Additional Input'!$K$36)&gt;Projections!A31,'Additional Input'!$D$36*(1+IF('Additional Input'!$H$36=TRUE,'Additional Input'!$D$13,0))^Projections!A31,0)-IF(('Additional Input'!$K$40)&gt;A31,'Additional Input'!$D$40*(1+IF('Additional Input'!$H$39=TRUE,'Additional Input'!$D$13,0))^A31,0)+IF(('Additional Input'!$F$37-'Additional Input'!$N$9)&lt;=Projections!A31,'Additional Input'!$D$37*(1+IF('Additional Input'!$H$37=TRUE,'Additional Input'!$D$13,0))^IF('Additional Input'!$K$37=TRUE,Projections!A31,Projections!A31-('Additional Input'!$F$37-'Additional Input'!$N$9)),0)+Adjustments!C31)</f>
        <v>0</v>
      </c>
      <c r="O31" s="823">
        <f ca="1">IF(A31&gt;'Additional Input'!$E$11,"",IF(('Additional Input'!$N$9+Projections!$A31)&gt;=IF('Additional Input'!$K$44=TRUE,71,70),VLOOKUP(('Additional Input'!$N$9+Projections!$A31),UniformTable,2),0))</f>
        <v>14.1</v>
      </c>
      <c r="P31" s="822">
        <f ca="1">IF(A31&gt;'Additional Input'!$E$11,"",IF($O31=0,0,$F31/$O31))</f>
        <v>0</v>
      </c>
      <c r="Q31" s="178">
        <f ca="1">IF(A31&gt;'Additional Input'!$E$11,"",IF(IF('Additional Input'!$D$44=TRUE,IF($O31=0,0,$F31/$O31),IF('Additional Input'!$F$45-'Additional Input'!$N$9&lt;=Projections!$A31,IF($F31*(1+$F$4)&lt;'Additional Input'!$D$45*IF('Additional Input'!$H$45=TRUE,(1+'Additional Input'!$D$13)^IF('Additional Input'!$K$45=TRUE,$A31,$A31-('Additional Input'!$F$45-'Additional Input'!$N$9)),1),$F31*(1+$F$4),'Additional Input'!$D$45*IF('Additional Input'!$H$45=TRUE,(1+'Additional Input'!$D$13)^IF('Additional Input'!$K$45=TRUE,$A31,$A31-('Additional Input'!$F$45-'Additional Input'!$N$9)),1)),0))&lt;$P31,$P31,IF('Additional Input'!$D$44=TRUE,IF($O31=0,0,$F31/$O31),IF('Additional Input'!$F$45-'Additional Input'!$N$9&lt;=Projections!$A31,IF($F31*(1+$F$4)&lt;'Additional Input'!$D$45*IF('Additional Input'!$H$45=TRUE,(1+'Additional Input'!$D$13)^IF('Additional Input'!$K$45=TRUE,$A31,$A31-('Additional Input'!$F$45-'Additional Input'!$N$9)),1),$F31*(1+$F$4),'Additional Input'!$D$45*IF('Additional Input'!$H$45=TRUE,(1+'Additional Input'!$D$13)^IF('Additional Input'!$K$45=TRUE,$A31,$A31-('Additional Input'!$F$45-'Additional Input'!$N$9)),1)),0)))+Adjustments!D31)</f>
        <v>0</v>
      </c>
      <c r="R31" s="571">
        <f ca="1">IF(A31&gt;'Additional Input'!$E$11,"",-((N31+Q31)*'Additional Input'!$D$12)+Adjustments!E31)</f>
        <v>0</v>
      </c>
      <c r="S31" s="571">
        <f ca="1">IF(A31&gt;'Additional Input'!$E$11,"",IF($A31&gt;='Additional Input'!$D$19,-'Additional Input'!$D$18*(1+IF('Additional Input'!$F$18=TRUE,'Additional Input'!$D$13,0))^Projections!A31,0)-TaxTables!D57+Adjustments!F31-VLOOKUP(A31,Gifts,6))</f>
        <v>-138000</v>
      </c>
      <c r="T31" s="126">
        <f ca="1">IF(A31&gt;'Additional Input'!$E$11,"",N31+Q31+R31+S31)</f>
        <v>-138000</v>
      </c>
      <c r="U31" s="367"/>
    </row>
    <row r="32" spans="1:21" ht="14.25" customHeight="1">
      <c r="A32" s="122">
        <f t="shared" si="0"/>
        <v>27</v>
      </c>
      <c r="B32" s="110" t="str">
        <f ca="1">IF(A32&gt;'Additional Input'!$E$11,"",IF('Additional Input'!$N$9="","",'Additional Input'!$N$9+Projections!A32)&amp;"/"&amp;IF('Additional Input'!$O$9="","",IF('Additional Input'!$O$9=0,"",'Additional Input'!$O$9+Projections!A32)))</f>
        <v>87/87</v>
      </c>
      <c r="C32" s="122">
        <f ca="1">IF(A32&gt;'Additional Input'!$E$11,"",+C31+1)</f>
        <v>2040</v>
      </c>
      <c r="D32" s="159">
        <f ca="1">IF(A32&gt;'Additional Input'!$E$11,"",($D31*(1+'Additional Input'!$F$26))+$N31+$Q31+$R31+$S31+VLOOKUP(A31,Gifts,6)-VLOOKUP(A32,Gifts,6))</f>
        <v>38107147.526695646</v>
      </c>
      <c r="E32" s="159">
        <f ca="1">IF(A32&gt;'Additional Input'!$E$11,"",E31*(1+'Additional Input'!$F$28))</f>
        <v>0</v>
      </c>
      <c r="F32" s="159">
        <f ca="1">IF(A32&gt;'Additional Input'!$E$11,"",($F31*(1+'Additional Input'!$F$27))-$Q31+IF(('Additional Input'!$K$40)&gt;A31,'Additional Input'!$D$40*(1+IF('Additional Input'!$H$40=TRUE,'Additional Input'!$D$13,0))^A31,0)+IF(('Additional Input'!$K$40)&gt;A31,'Additional Input'!$F$40*(1+IF('Additional Input'!$H$40=TRUE,'Additional Input'!$D$13,0))^A31,0))</f>
        <v>0</v>
      </c>
      <c r="G32" s="646">
        <f ca="1">IF(A32&gt;'Additional Input'!$E$11,"",-VLOOKUP(A32*12,Amortization,2))</f>
        <v>0</v>
      </c>
      <c r="H32" s="159">
        <f ca="1">IF(A32&gt;'Additional Input'!$E$11,"",IF(A32&lt;=Calculator!$F$7,Calculator!$D$7,0)+Calculator!$D$8-IF(A32&gt;3,Calculator!$H$8,0))</f>
        <v>0</v>
      </c>
      <c r="I32" s="159">
        <f ca="1">IF(A32&gt;'Additional Input'!$E$11,"",D32+E32+F32+G32+H32)</f>
        <v>38107147.526695646</v>
      </c>
      <c r="J32" s="646">
        <f ca="1">IF(A32&gt;'Additional Input'!$E$11,"",VLOOKUP(A32,Gifts,9))</f>
        <v>5143381.1153563038</v>
      </c>
      <c r="K32" s="159">
        <f ca="1">IF(A32&gt;'Additional Input'!$E$11,"",IF(Calculator!$D$20=TRUE,Calculator!$I$20,0)+IF(A32&gt;3,Calculator!$H$8,0))</f>
        <v>0</v>
      </c>
      <c r="L32" s="159">
        <f ca="1">IF(A32&gt;'Additional Input'!$E$11,"",J32+K32)</f>
        <v>5143381.1153563038</v>
      </c>
      <c r="M32" s="126">
        <f ca="1">IF(A32&gt;'Additional Input'!$E$11,"",(D32*'Additional Input'!$F$26)+(E32*'Additional Input'!$F$28)+(F32*'Additional Input'!$F$27))</f>
        <v>1524285.901067826</v>
      </c>
      <c r="N32" s="126">
        <f ca="1">IF(A32&gt;'Additional Input'!$E$11,"",IF(('Additional Input'!$K$35)&gt;Projections!A32,'Additional Input'!$D$35*(1+IF('Additional Input'!$H$35=TRUE,'Additional Input'!$D$13,0))^Projections!A32,0)+IF(('Additional Input'!$K$36)&gt;Projections!A32,'Additional Input'!$D$36*(1+IF('Additional Input'!$H$36=TRUE,'Additional Input'!$D$13,0))^Projections!A32,0)-IF(('Additional Input'!$K$40)&gt;A32,'Additional Input'!$D$40*(1+IF('Additional Input'!$H$39=TRUE,'Additional Input'!$D$13,0))^A32,0)+IF(('Additional Input'!$F$37-'Additional Input'!$N$9)&lt;=Projections!A32,'Additional Input'!$D$37*(1+IF('Additional Input'!$H$37=TRUE,'Additional Input'!$D$13,0))^IF('Additional Input'!$K$37=TRUE,Projections!A32,Projections!A32-('Additional Input'!$F$37-'Additional Input'!$N$9)),0)+Adjustments!C32)</f>
        <v>0</v>
      </c>
      <c r="O32" s="823">
        <f ca="1">IF(A32&gt;'Additional Input'!$E$11,"",IF(('Additional Input'!$N$9+Projections!$A32)&gt;=IF('Additional Input'!$K$44=TRUE,71,70),VLOOKUP(('Additional Input'!$N$9+Projections!$A32),UniformTable,2),0))</f>
        <v>13.4</v>
      </c>
      <c r="P32" s="822">
        <f ca="1">IF(A32&gt;'Additional Input'!$E$11,"",IF($O32=0,0,$F32/$O32))</f>
        <v>0</v>
      </c>
      <c r="Q32" s="178">
        <f ca="1">IF(A32&gt;'Additional Input'!$E$11,"",IF(IF('Additional Input'!$D$44=TRUE,IF($O32=0,0,$F32/$O32),IF('Additional Input'!$F$45-'Additional Input'!$N$9&lt;=Projections!$A32,IF($F32*(1+$F$4)&lt;'Additional Input'!$D$45*IF('Additional Input'!$H$45=TRUE,(1+'Additional Input'!$D$13)^IF('Additional Input'!$K$45=TRUE,$A32,$A32-('Additional Input'!$F$45-'Additional Input'!$N$9)),1),$F32*(1+$F$4),'Additional Input'!$D$45*IF('Additional Input'!$H$45=TRUE,(1+'Additional Input'!$D$13)^IF('Additional Input'!$K$45=TRUE,$A32,$A32-('Additional Input'!$F$45-'Additional Input'!$N$9)),1)),0))&lt;$P32,$P32,IF('Additional Input'!$D$44=TRUE,IF($O32=0,0,$F32/$O32),IF('Additional Input'!$F$45-'Additional Input'!$N$9&lt;=Projections!$A32,IF($F32*(1+$F$4)&lt;'Additional Input'!$D$45*IF('Additional Input'!$H$45=TRUE,(1+'Additional Input'!$D$13)^IF('Additional Input'!$K$45=TRUE,$A32,$A32-('Additional Input'!$F$45-'Additional Input'!$N$9)),1),$F32*(1+$F$4),'Additional Input'!$D$45*IF('Additional Input'!$H$45=TRUE,(1+'Additional Input'!$D$13)^IF('Additional Input'!$K$45=TRUE,$A32,$A32-('Additional Input'!$F$45-'Additional Input'!$N$9)),1)),0)))+Adjustments!D32)</f>
        <v>0</v>
      </c>
      <c r="R32" s="571">
        <f ca="1">IF(A32&gt;'Additional Input'!$E$11,"",-((N32+Q32)*'Additional Input'!$D$12)+Adjustments!E32)</f>
        <v>0</v>
      </c>
      <c r="S32" s="571">
        <f ca="1">IF(A32&gt;'Additional Input'!$E$11,"",IF($A32&gt;='Additional Input'!$D$19,-'Additional Input'!$D$18*(1+IF('Additional Input'!$F$18=TRUE,'Additional Input'!$D$13,0))^Projections!A32,0)-TaxTables!D58+Adjustments!F32-VLOOKUP(A32,Gifts,6))</f>
        <v>-138000</v>
      </c>
      <c r="T32" s="126">
        <f ca="1">IF(A32&gt;'Additional Input'!$E$11,"",N32+Q32+R32+S32)</f>
        <v>-138000</v>
      </c>
      <c r="U32" s="367"/>
    </row>
    <row r="33" spans="1:21" ht="14.25" customHeight="1">
      <c r="A33" s="122">
        <f t="shared" si="0"/>
        <v>28</v>
      </c>
      <c r="B33" s="110" t="str">
        <f ca="1">IF(A33&gt;'Additional Input'!$E$11,"",IF('Additional Input'!$N$9="","",'Additional Input'!$N$9+Projections!A33)&amp;"/"&amp;IF('Additional Input'!$O$9="","",IF('Additional Input'!$O$9=0,"",'Additional Input'!$O$9+Projections!A33)))</f>
        <v>88/88</v>
      </c>
      <c r="C33" s="122">
        <f ca="1">IF(A33&gt;'Additional Input'!$E$11,"",+C32+1)</f>
        <v>2041</v>
      </c>
      <c r="D33" s="159">
        <f ca="1">IF(A33&gt;'Additional Input'!$E$11,"",($D32*(1+'Additional Input'!$F$26))+$N32+$Q32+$R32+$S32+VLOOKUP(A32,Gifts,6)-VLOOKUP(A33,Gifts,6))</f>
        <v>39487433.427763477</v>
      </c>
      <c r="E33" s="159">
        <f ca="1">IF(A33&gt;'Additional Input'!$E$11,"",E32*(1+'Additional Input'!$F$28))</f>
        <v>0</v>
      </c>
      <c r="F33" s="159">
        <f ca="1">IF(A33&gt;'Additional Input'!$E$11,"",($F32*(1+'Additional Input'!$F$27))-$Q32+IF(('Additional Input'!$K$40)&gt;A32,'Additional Input'!$D$40*(1+IF('Additional Input'!$H$40=TRUE,'Additional Input'!$D$13,0))^A32,0)+IF(('Additional Input'!$K$40)&gt;A32,'Additional Input'!$F$40*(1+IF('Additional Input'!$H$40=TRUE,'Additional Input'!$D$13,0))^A32,0))</f>
        <v>0</v>
      </c>
      <c r="G33" s="646">
        <f ca="1">IF(A33&gt;'Additional Input'!$E$11,"",-VLOOKUP(A33*12,Amortization,2))</f>
        <v>0</v>
      </c>
      <c r="H33" s="159">
        <f ca="1">IF(A33&gt;'Additional Input'!$E$11,"",IF(A33&lt;=Calculator!$F$7,Calculator!$D$7,0)+Calculator!$D$8-IF(A33&gt;3,Calculator!$H$8,0))</f>
        <v>0</v>
      </c>
      <c r="I33" s="159">
        <f ca="1">IF(A33&gt;'Additional Input'!$E$11,"",D33+E33+F33+G33+H33)</f>
        <v>39487433.427763477</v>
      </c>
      <c r="J33" s="646">
        <f ca="1">IF(A33&gt;'Additional Input'!$E$11,"",VLOOKUP(A33,Gifts,9))</f>
        <v>5493116.3599705556</v>
      </c>
      <c r="K33" s="159">
        <f ca="1">IF(A33&gt;'Additional Input'!$E$11,"",IF(Calculator!$D$20=TRUE,Calculator!$I$20,0)+IF(A33&gt;3,Calculator!$H$8,0))</f>
        <v>0</v>
      </c>
      <c r="L33" s="159">
        <f ca="1">IF(A33&gt;'Additional Input'!$E$11,"",J33+K33)</f>
        <v>5493116.3599705556</v>
      </c>
      <c r="M33" s="126">
        <f ca="1">IF(A33&gt;'Additional Input'!$E$11,"",(D33*'Additional Input'!$F$26)+(E33*'Additional Input'!$F$28)+(F33*'Additional Input'!$F$27))</f>
        <v>1579497.3371105392</v>
      </c>
      <c r="N33" s="126">
        <f ca="1">IF(A33&gt;'Additional Input'!$E$11,"",IF(('Additional Input'!$K$35)&gt;Projections!A33,'Additional Input'!$D$35*(1+IF('Additional Input'!$H$35=TRUE,'Additional Input'!$D$13,0))^Projections!A33,0)+IF(('Additional Input'!$K$36)&gt;Projections!A33,'Additional Input'!$D$36*(1+IF('Additional Input'!$H$36=TRUE,'Additional Input'!$D$13,0))^Projections!A33,0)-IF(('Additional Input'!$K$40)&gt;A33,'Additional Input'!$D$40*(1+IF('Additional Input'!$H$39=TRUE,'Additional Input'!$D$13,0))^A33,0)+IF(('Additional Input'!$F$37-'Additional Input'!$N$9)&lt;=Projections!A33,'Additional Input'!$D$37*(1+IF('Additional Input'!$H$37=TRUE,'Additional Input'!$D$13,0))^IF('Additional Input'!$K$37=TRUE,Projections!A33,Projections!A33-('Additional Input'!$F$37-'Additional Input'!$N$9)),0)+Adjustments!C33)</f>
        <v>0</v>
      </c>
      <c r="O33" s="823">
        <f ca="1">IF(A33&gt;'Additional Input'!$E$11,"",IF(('Additional Input'!$N$9+Projections!$A33)&gt;=IF('Additional Input'!$K$44=TRUE,71,70),VLOOKUP(('Additional Input'!$N$9+Projections!$A33),UniformTable,2),0))</f>
        <v>12.7</v>
      </c>
      <c r="P33" s="822">
        <f ca="1">IF(A33&gt;'Additional Input'!$E$11,"",IF($O33=0,0,$F33/$O33))</f>
        <v>0</v>
      </c>
      <c r="Q33" s="178">
        <f ca="1">IF(A33&gt;'Additional Input'!$E$11,"",IF(IF('Additional Input'!$D$44=TRUE,IF($O33=0,0,$F33/$O33),IF('Additional Input'!$F$45-'Additional Input'!$N$9&lt;=Projections!$A33,IF($F33*(1+$F$4)&lt;'Additional Input'!$D$45*IF('Additional Input'!$H$45=TRUE,(1+'Additional Input'!$D$13)^IF('Additional Input'!$K$45=TRUE,$A33,$A33-('Additional Input'!$F$45-'Additional Input'!$N$9)),1),$F33*(1+$F$4),'Additional Input'!$D$45*IF('Additional Input'!$H$45=TRUE,(1+'Additional Input'!$D$13)^IF('Additional Input'!$K$45=TRUE,$A33,$A33-('Additional Input'!$F$45-'Additional Input'!$N$9)),1)),0))&lt;$P33,$P33,IF('Additional Input'!$D$44=TRUE,IF($O33=0,0,$F33/$O33),IF('Additional Input'!$F$45-'Additional Input'!$N$9&lt;=Projections!$A33,IF($F33*(1+$F$4)&lt;'Additional Input'!$D$45*IF('Additional Input'!$H$45=TRUE,(1+'Additional Input'!$D$13)^IF('Additional Input'!$K$45=TRUE,$A33,$A33-('Additional Input'!$F$45-'Additional Input'!$N$9)),1),$F33*(1+$F$4),'Additional Input'!$D$45*IF('Additional Input'!$H$45=TRUE,(1+'Additional Input'!$D$13)^IF('Additional Input'!$K$45=TRUE,$A33,$A33-('Additional Input'!$F$45-'Additional Input'!$N$9)),1)),0)))+Adjustments!D33)</f>
        <v>0</v>
      </c>
      <c r="R33" s="571">
        <f ca="1">IF(A33&gt;'Additional Input'!$E$11,"",-((N33+Q33)*'Additional Input'!$D$12)+Adjustments!E33)</f>
        <v>0</v>
      </c>
      <c r="S33" s="571">
        <f ca="1">IF(A33&gt;'Additional Input'!$E$11,"",IF($A33&gt;='Additional Input'!$D$19,-'Additional Input'!$D$18*(1+IF('Additional Input'!$F$18=TRUE,'Additional Input'!$D$13,0))^Projections!A33,0)-TaxTables!D59+Adjustments!F33-VLOOKUP(A33,Gifts,6))</f>
        <v>-144000</v>
      </c>
      <c r="T33" s="126">
        <f ca="1">IF(A33&gt;'Additional Input'!$E$11,"",N33+Q33+R33+S33)</f>
        <v>-144000</v>
      </c>
      <c r="U33" s="367"/>
    </row>
    <row r="34" spans="1:21" ht="14.25" customHeight="1">
      <c r="A34" s="122">
        <f t="shared" si="0"/>
        <v>29</v>
      </c>
      <c r="B34" s="110" t="str">
        <f ca="1">IF(A34&gt;'Additional Input'!$E$11,"",IF('Additional Input'!$N$9="","",'Additional Input'!$N$9+Projections!A34)&amp;"/"&amp;IF('Additional Input'!$O$9="","",IF('Additional Input'!$O$9=0,"",'Additional Input'!$O$9+Projections!A34)))</f>
        <v>89/89</v>
      </c>
      <c r="C34" s="122">
        <f ca="1">IF(A34&gt;'Additional Input'!$E$11,"",+C33+1)</f>
        <v>2042</v>
      </c>
      <c r="D34" s="159">
        <f ca="1">IF(A34&gt;'Additional Input'!$E$11,"",($D33*(1+'Additional Input'!$F$26))+$N33+$Q33+$R33+$S33+VLOOKUP(A33,Gifts,6)-VLOOKUP(A34,Gifts,6))</f>
        <v>40922930.764874019</v>
      </c>
      <c r="E34" s="159">
        <f ca="1">IF(A34&gt;'Additional Input'!$E$11,"",E33*(1+'Additional Input'!$F$28))</f>
        <v>0</v>
      </c>
      <c r="F34" s="159">
        <f ca="1">IF(A34&gt;'Additional Input'!$E$11,"",($F33*(1+'Additional Input'!$F$27))-$Q33+IF(('Additional Input'!$K$40)&gt;A33,'Additional Input'!$D$40*(1+IF('Additional Input'!$H$40=TRUE,'Additional Input'!$D$13,0))^A33,0)+IF(('Additional Input'!$K$40)&gt;A33,'Additional Input'!$F$40*(1+IF('Additional Input'!$H$40=TRUE,'Additional Input'!$D$13,0))^A33,0))</f>
        <v>0</v>
      </c>
      <c r="G34" s="646">
        <f ca="1">IF(A34&gt;'Additional Input'!$E$11,"",-VLOOKUP(A34*12,Amortization,2))</f>
        <v>0</v>
      </c>
      <c r="H34" s="159">
        <f ca="1">IF(A34&gt;'Additional Input'!$E$11,"",IF(A34&lt;=Calculator!$F$7,Calculator!$D$7,0)+Calculator!$D$8-IF(A34&gt;3,Calculator!$H$8,0))</f>
        <v>0</v>
      </c>
      <c r="I34" s="159">
        <f ca="1">IF(A34&gt;'Additional Input'!$E$11,"",D34+E34+F34+G34+H34)</f>
        <v>40922930.764874019</v>
      </c>
      <c r="J34" s="646">
        <f ca="1">IF(A34&gt;'Additional Input'!$E$11,"",VLOOKUP(A34,Gifts,9))</f>
        <v>5856841.0143693779</v>
      </c>
      <c r="K34" s="159">
        <f ca="1">IF(A34&gt;'Additional Input'!$E$11,"",IF(Calculator!$D$20=TRUE,Calculator!$I$20,0)+IF(A34&gt;3,Calculator!$H$8,0))</f>
        <v>0</v>
      </c>
      <c r="L34" s="159">
        <f ca="1">IF(A34&gt;'Additional Input'!$E$11,"",J34+K34)</f>
        <v>5856841.0143693779</v>
      </c>
      <c r="M34" s="126">
        <f ca="1">IF(A34&gt;'Additional Input'!$E$11,"",(D34*'Additional Input'!$F$26)+(E34*'Additional Input'!$F$28)+(F34*'Additional Input'!$F$27))</f>
        <v>1636917.2305949607</v>
      </c>
      <c r="N34" s="126">
        <f ca="1">IF(A34&gt;'Additional Input'!$E$11,"",IF(('Additional Input'!$K$35)&gt;Projections!A34,'Additional Input'!$D$35*(1+IF('Additional Input'!$H$35=TRUE,'Additional Input'!$D$13,0))^Projections!A34,0)+IF(('Additional Input'!$K$36)&gt;Projections!A34,'Additional Input'!$D$36*(1+IF('Additional Input'!$H$36=TRUE,'Additional Input'!$D$13,0))^Projections!A34,0)-IF(('Additional Input'!$K$40)&gt;A34,'Additional Input'!$D$40*(1+IF('Additional Input'!$H$39=TRUE,'Additional Input'!$D$13,0))^A34,0)+IF(('Additional Input'!$F$37-'Additional Input'!$N$9)&lt;=Projections!A34,'Additional Input'!$D$37*(1+IF('Additional Input'!$H$37=TRUE,'Additional Input'!$D$13,0))^IF('Additional Input'!$K$37=TRUE,Projections!A34,Projections!A34-('Additional Input'!$F$37-'Additional Input'!$N$9)),0)+Adjustments!C34)</f>
        <v>0</v>
      </c>
      <c r="O34" s="823">
        <f ca="1">IF(A34&gt;'Additional Input'!$E$11,"",IF(('Additional Input'!$N$9+Projections!$A34)&gt;=IF('Additional Input'!$K$44=TRUE,71,70),VLOOKUP(('Additional Input'!$N$9+Projections!$A34),UniformTable,2),0))</f>
        <v>12</v>
      </c>
      <c r="P34" s="822">
        <f ca="1">IF(A34&gt;'Additional Input'!$E$11,"",IF($O34=0,0,$F34/$O34))</f>
        <v>0</v>
      </c>
      <c r="Q34" s="178">
        <f ca="1">IF(A34&gt;'Additional Input'!$E$11,"",IF(IF('Additional Input'!$D$44=TRUE,IF($O34=0,0,$F34/$O34),IF('Additional Input'!$F$45-'Additional Input'!$N$9&lt;=Projections!$A34,IF($F34*(1+$F$4)&lt;'Additional Input'!$D$45*IF('Additional Input'!$H$45=TRUE,(1+'Additional Input'!$D$13)^IF('Additional Input'!$K$45=TRUE,$A34,$A34-('Additional Input'!$F$45-'Additional Input'!$N$9)),1),$F34*(1+$F$4),'Additional Input'!$D$45*IF('Additional Input'!$H$45=TRUE,(1+'Additional Input'!$D$13)^IF('Additional Input'!$K$45=TRUE,$A34,$A34-('Additional Input'!$F$45-'Additional Input'!$N$9)),1)),0))&lt;$P34,$P34,IF('Additional Input'!$D$44=TRUE,IF($O34=0,0,$F34/$O34),IF('Additional Input'!$F$45-'Additional Input'!$N$9&lt;=Projections!$A34,IF($F34*(1+$F$4)&lt;'Additional Input'!$D$45*IF('Additional Input'!$H$45=TRUE,(1+'Additional Input'!$D$13)^IF('Additional Input'!$K$45=TRUE,$A34,$A34-('Additional Input'!$F$45-'Additional Input'!$N$9)),1),$F34*(1+$F$4),'Additional Input'!$D$45*IF('Additional Input'!$H$45=TRUE,(1+'Additional Input'!$D$13)^IF('Additional Input'!$K$45=TRUE,$A34,$A34-('Additional Input'!$F$45-'Additional Input'!$N$9)),1)),0)))+Adjustments!D34)</f>
        <v>0</v>
      </c>
      <c r="R34" s="571">
        <f ca="1">IF(A34&gt;'Additional Input'!$E$11,"",-((N34+Q34)*'Additional Input'!$D$12)+Adjustments!E34)</f>
        <v>0</v>
      </c>
      <c r="S34" s="571">
        <f ca="1">IF(A34&gt;'Additional Input'!$E$11,"",IF($A34&gt;='Additional Input'!$D$19,-'Additional Input'!$D$18*(1+IF('Additional Input'!$F$18=TRUE,'Additional Input'!$D$13,0))^Projections!A34,0)-TaxTables!D60+Adjustments!F34-VLOOKUP(A34,Gifts,6))</f>
        <v>-144000</v>
      </c>
      <c r="T34" s="126">
        <f ca="1">IF(A34&gt;'Additional Input'!$E$11,"",N34+Q34+R34+S34)</f>
        <v>-144000</v>
      </c>
      <c r="U34" s="367"/>
    </row>
    <row r="35" spans="1:21" s="119" customFormat="1" ht="14.25" customHeight="1">
      <c r="A35" s="650">
        <f t="shared" si="0"/>
        <v>30</v>
      </c>
      <c r="B35" s="651" t="str">
        <f ca="1">IF(A35&gt;'Additional Input'!$E$11,"",IF('Additional Input'!$N$9="","",'Additional Input'!$N$9+Projections!A35)&amp;"/"&amp;IF('Additional Input'!$O$9="","",IF('Additional Input'!$O$9=0,"",'Additional Input'!$O$9+Projections!A35)))</f>
        <v>90/90</v>
      </c>
      <c r="C35" s="650">
        <f ca="1">IF(A35&gt;'Additional Input'!$E$11,"",+C34+1)</f>
        <v>2043</v>
      </c>
      <c r="D35" s="652">
        <f ca="1">IF(A35&gt;'Additional Input'!$E$11,"",($D34*(1+'Additional Input'!$F$26))+$N34+$Q34+$R34+$S34+VLOOKUP(A34,Gifts,6)-VLOOKUP(A35,Gifts,6))</f>
        <v>42409847.995468982</v>
      </c>
      <c r="E35" s="653">
        <f ca="1">IF(A35&gt;'Additional Input'!$E$11,"",E34*(1+'Additional Input'!$F$28))</f>
        <v>0</v>
      </c>
      <c r="F35" s="653">
        <f ca="1">IF(A35&gt;'Additional Input'!$E$11,"",($F34*(1+'Additional Input'!$F$27))-$Q34+IF(('Additional Input'!$K$40)&gt;A34,'Additional Input'!$D$40*(1+IF('Additional Input'!$H$40=TRUE,'Additional Input'!$D$13,0))^A34,0)+IF(('Additional Input'!$K$40)&gt;A34,'Additional Input'!$F$40*(1+IF('Additional Input'!$H$40=TRUE,'Additional Input'!$D$13,0))^A34,0))</f>
        <v>0</v>
      </c>
      <c r="G35" s="853">
        <f ca="1">IF(A35&gt;'Additional Input'!$E$11,"",-VLOOKUP(A35*12,Amortization,2))</f>
        <v>0</v>
      </c>
      <c r="H35" s="652">
        <f ca="1">IF(A35&gt;'Additional Input'!$E$11,"",IF(A35&lt;=Calculator!$F$7,Calculator!$D$7,0)+Calculator!$D$8-IF(A35&gt;3,Calculator!$H$8,0))</f>
        <v>0</v>
      </c>
      <c r="I35" s="652">
        <f ca="1">IF(A35&gt;'Additional Input'!$E$11,"",D35+E35+F35+G35+H35)</f>
        <v>42409847.995468982</v>
      </c>
      <c r="J35" s="649">
        <f ca="1">IF(A35&gt;'Additional Input'!$E$11,"",VLOOKUP(A35,Gifts,9))</f>
        <v>6241114.6549441535</v>
      </c>
      <c r="K35" s="652">
        <f ca="1">IF(A35&gt;'Additional Input'!$E$11,"",IF(Calculator!$D$20=TRUE,Calculator!$I$20,0)+IF(A35&gt;3,Calculator!$H$8,0))</f>
        <v>0</v>
      </c>
      <c r="L35" s="652">
        <f ca="1">IF(A35&gt;'Additional Input'!$E$11,"",J35+K35)</f>
        <v>6241114.6549441535</v>
      </c>
      <c r="M35" s="654">
        <f ca="1">IF(A35&gt;'Additional Input'!$E$11,"",(D35*'Additional Input'!$F$26)+(E35*'Additional Input'!$F$28)+(F35*'Additional Input'!$F$27))</f>
        <v>1696393.9198187592</v>
      </c>
      <c r="N35" s="655">
        <f ca="1">IF(A35&gt;'Additional Input'!$E$11,"",IF(('Additional Input'!$K$35)&gt;Projections!A35,'Additional Input'!$D$35*(1+IF('Additional Input'!$H$35=TRUE,'Additional Input'!$D$13,0))^Projections!A35,0)+IF(('Additional Input'!$K$36)&gt;Projections!A35,'Additional Input'!$D$36*(1+IF('Additional Input'!$H$36=TRUE,'Additional Input'!$D$13,0))^Projections!A35,0)-IF(('Additional Input'!$K$40)&gt;A35,'Additional Input'!$D$40*(1+IF('Additional Input'!$H$39=TRUE,'Additional Input'!$D$13,0))^A35,0)+IF(('Additional Input'!$F$37-'Additional Input'!$N$9)&lt;=Projections!A35,'Additional Input'!$D$37*(1+IF('Additional Input'!$H$37=TRUE,'Additional Input'!$D$13,0))^IF('Additional Input'!$K$37=TRUE,Projections!A35,Projections!A35-('Additional Input'!$F$37-'Additional Input'!$N$9)),0)+Adjustments!C35)</f>
        <v>0</v>
      </c>
      <c r="O35" s="824">
        <f ca="1">IF(A35&gt;'Additional Input'!$E$11,"",IF(('Additional Input'!$N$9+Projections!$A35)&gt;=IF('Additional Input'!$K$44=TRUE,71,70),VLOOKUP(('Additional Input'!$N$9+Projections!$A35),UniformTable,2),0))</f>
        <v>11.4</v>
      </c>
      <c r="P35" s="825">
        <f ca="1">IF(A35&gt;'Additional Input'!$E$11,"",IF($O35=0,0,$F35/$O35))</f>
        <v>0</v>
      </c>
      <c r="Q35" s="655">
        <f ca="1">IF(A35&gt;'Additional Input'!$E$11,"",IF(IF('Additional Input'!$D$44=TRUE,IF($O35=0,0,$F35/$O35),IF('Additional Input'!$F$45-'Additional Input'!$N$9&lt;=Projections!$A35,IF($F35*(1+$F$4)&lt;'Additional Input'!$D$45*IF('Additional Input'!$H$45=TRUE,(1+'Additional Input'!$D$13)^IF('Additional Input'!$K$45=TRUE,$A35,$A35-('Additional Input'!$F$45-'Additional Input'!$N$9)),1),$F35*(1+$F$4),'Additional Input'!$D$45*IF('Additional Input'!$H$45=TRUE,(1+'Additional Input'!$D$13)^IF('Additional Input'!$K$45=TRUE,$A35,$A35-('Additional Input'!$F$45-'Additional Input'!$N$9)),1)),0))&lt;$P35,$P35,IF('Additional Input'!$D$44=TRUE,IF($O35=0,0,$F35/$O35),IF('Additional Input'!$F$45-'Additional Input'!$N$9&lt;=Projections!$A35,IF($F35*(1+$F$4)&lt;'Additional Input'!$D$45*IF('Additional Input'!$H$45=TRUE,(1+'Additional Input'!$D$13)^IF('Additional Input'!$K$45=TRUE,$A35,$A35-('Additional Input'!$F$45-'Additional Input'!$N$9)),1),$F35*(1+$F$4),'Additional Input'!$D$45*IF('Additional Input'!$H$45=TRUE,(1+'Additional Input'!$D$13)^IF('Additional Input'!$K$45=TRUE,$A35,$A35-('Additional Input'!$F$45-'Additional Input'!$N$9)),1)),0)))+Adjustments!D35)</f>
        <v>0</v>
      </c>
      <c r="R35" s="656">
        <f ca="1">IF(A35&gt;'Additional Input'!$E$11,"",-((N35+Q35)*'Additional Input'!$D$12)+Adjustments!E35)</f>
        <v>0</v>
      </c>
      <c r="S35" s="656">
        <f ca="1">IF(A35&gt;'Additional Input'!$E$11,"",IF($A35&gt;='Additional Input'!$D$19,-'Additional Input'!$D$18*(1+IF('Additional Input'!$F$18=TRUE,'Additional Input'!$D$13,0))^Projections!A35,0)-TaxTables!D61+Adjustments!F35-VLOOKUP(A35,Gifts,6))</f>
        <v>-150000</v>
      </c>
      <c r="T35" s="654">
        <f ca="1">IF(A35&gt;'Additional Input'!$E$11,"",N35+Q35+R35+S35)</f>
        <v>-150000</v>
      </c>
      <c r="U35" s="637"/>
    </row>
    <row r="36" spans="1:21" ht="14.25" customHeight="1">
      <c r="A36" s="122">
        <f t="shared" si="0"/>
        <v>31</v>
      </c>
      <c r="B36" s="110" t="str">
        <f ca="1">IF(A36&gt;'Additional Input'!$E$11,"",IF('Additional Input'!$N$9="","",'Additional Input'!$N$9+Projections!A36)&amp;"/"&amp;IF('Additional Input'!$O$9="","",IF('Additional Input'!$O$9=0,"",'Additional Input'!$O$9+Projections!A36)))</f>
        <v/>
      </c>
      <c r="C36" s="122" t="str">
        <f ca="1">IF(A36&gt;'Additional Input'!$E$11,"",+C35+1)</f>
        <v/>
      </c>
      <c r="D36" s="159" t="str">
        <f ca="1">IF(A36&gt;'Additional Input'!$E$11,"",($D35*(1+'Additional Input'!$F$26))+$N35+$Q35+$R35+$S35+VLOOKUP(A35,Gifts,6)-VLOOKUP(A36,Gifts,6))</f>
        <v/>
      </c>
      <c r="E36" s="159" t="str">
        <f ca="1">IF(A36&gt;'Additional Input'!$E$11,"",E35*(1+'Additional Input'!$F$28))</f>
        <v/>
      </c>
      <c r="F36" s="159" t="str">
        <f ca="1">IF(A36&gt;'Additional Input'!$E$11,"",($F35*(1+'Additional Input'!$F$27))-$Q35+IF(('Additional Input'!$K$40)&gt;A35,'Additional Input'!$D$40*(1+IF('Additional Input'!$H$40=TRUE,'Additional Input'!$D$13,0))^A35,0)+IF(('Additional Input'!$K$40)&gt;A35,'Additional Input'!$F$40*(1+IF('Additional Input'!$H$40=TRUE,'Additional Input'!$D$13,0))^A35,0))</f>
        <v/>
      </c>
      <c r="G36" s="646" t="str">
        <f ca="1">IF(A36&gt;'Additional Input'!$E$11,"",-VLOOKUP(A36*12,Amortization,2))</f>
        <v/>
      </c>
      <c r="H36" s="159" t="str">
        <f ca="1">IF(A36&gt;'Additional Input'!$E$11,"",IF(A36&lt;=Calculator!$F$7,Calculator!$D$7,0)+Calculator!$D$8-IF(A36&gt;3,Calculator!$H$8,0))</f>
        <v/>
      </c>
      <c r="I36" s="159" t="str">
        <f ca="1">IF(A36&gt;'Additional Input'!$E$11,"",D36+E36+F36+G36+H36)</f>
        <v/>
      </c>
      <c r="J36" s="646" t="str">
        <f ca="1">IF(A36&gt;'Additional Input'!$E$11,"",VLOOKUP(A36,Gifts,9))</f>
        <v/>
      </c>
      <c r="K36" s="159" t="str">
        <f ca="1">IF(A36&gt;'Additional Input'!$E$11,"",IF(Calculator!$D$20=TRUE,Calculator!$I$20,0)+IF(A36&gt;3,Calculator!$H$8,0))</f>
        <v/>
      </c>
      <c r="L36" s="159" t="str">
        <f ca="1">IF(A36&gt;'Additional Input'!$E$11,"",J36+K36)</f>
        <v/>
      </c>
      <c r="M36" s="126" t="str">
        <f ca="1">IF(A36&gt;'Additional Input'!$E$11,"",(D36*'Additional Input'!$F$26)+(E36*'Additional Input'!$F$28)+(F36*'Additional Input'!$F$27))</f>
        <v/>
      </c>
      <c r="N36" s="126" t="str">
        <f ca="1">IF(A36&gt;'Additional Input'!$E$11,"",IF(('Additional Input'!$K$35)&gt;Projections!A36,'Additional Input'!$D$35*(1+IF('Additional Input'!$H$35=TRUE,'Additional Input'!$D$13,0))^Projections!A36,0)+IF(('Additional Input'!$K$36)&gt;Projections!A36,'Additional Input'!$D$36*(1+IF('Additional Input'!$H$36=TRUE,'Additional Input'!$D$13,0))^Projections!A36,0)-IF(('Additional Input'!$K$40)&gt;A36,'Additional Input'!$D$40*(1+IF('Additional Input'!$H$39=TRUE,'Additional Input'!$D$13,0))^A36,0)+IF(('Additional Input'!$F$37-'Additional Input'!$N$9)&lt;=Projections!A36,'Additional Input'!$D$37*(1+IF('Additional Input'!$H$37=TRUE,'Additional Input'!$D$13,0))^IF('Additional Input'!$K$37=TRUE,Projections!A36,Projections!A36-('Additional Input'!$F$37-'Additional Input'!$N$9)),0)+Adjustments!C36)</f>
        <v/>
      </c>
      <c r="O36" s="823" t="str">
        <f ca="1">IF(A36&gt;'Additional Input'!$E$11,"",IF(('Additional Input'!$N$9+Projections!$A36)&gt;=IF('Additional Input'!$K$44=TRUE,71,70),VLOOKUP(('Additional Input'!$N$9+Projections!$A36),UniformTable,2),0))</f>
        <v/>
      </c>
      <c r="P36" s="822" t="str">
        <f ca="1">IF(A36&gt;'Additional Input'!$E$11,"",IF($O36=0,0,$F36/$O36))</f>
        <v/>
      </c>
      <c r="Q36" s="178" t="str">
        <f ca="1">IF(A36&gt;'Additional Input'!$E$11,"",IF(IF('Additional Input'!$D$44=TRUE,IF($O36=0,0,$F36/$O36),IF('Additional Input'!$F$45-'Additional Input'!$N$9&lt;=Projections!$A36,IF($F36*(1+$F$4)&lt;'Additional Input'!$D$45*IF('Additional Input'!$H$45=TRUE,(1+'Additional Input'!$D$13)^IF('Additional Input'!$K$45=TRUE,$A36,$A36-('Additional Input'!$F$45-'Additional Input'!$N$9)),1),$F36*(1+$F$4),'Additional Input'!$D$45*IF('Additional Input'!$H$45=TRUE,(1+'Additional Input'!$D$13)^IF('Additional Input'!$K$45=TRUE,$A36,$A36-('Additional Input'!$F$45-'Additional Input'!$N$9)),1)),0))&lt;$P36,$P36,IF('Additional Input'!$D$44=TRUE,IF($O36=0,0,$F36/$O36),IF('Additional Input'!$F$45-'Additional Input'!$N$9&lt;=Projections!$A36,IF($F36*(1+$F$4)&lt;'Additional Input'!$D$45*IF('Additional Input'!$H$45=TRUE,(1+'Additional Input'!$D$13)^IF('Additional Input'!$K$45=TRUE,$A36,$A36-('Additional Input'!$F$45-'Additional Input'!$N$9)),1),$F36*(1+$F$4),'Additional Input'!$D$45*IF('Additional Input'!$H$45=TRUE,(1+'Additional Input'!$D$13)^IF('Additional Input'!$K$45=TRUE,$A36,$A36-('Additional Input'!$F$45-'Additional Input'!$N$9)),1)),0)))+Adjustments!D36)</f>
        <v/>
      </c>
      <c r="R36" s="571" t="str">
        <f ca="1">IF(A36&gt;'Additional Input'!$E$11,"",-((N36+Q36)*'Additional Input'!$D$12)+Adjustments!E36)</f>
        <v/>
      </c>
      <c r="S36" s="571" t="str">
        <f ca="1">IF(A36&gt;'Additional Input'!$E$11,"",IF($A36&gt;='Additional Input'!$D$19,-'Additional Input'!$D$18*(1+IF('Additional Input'!$F$18=TRUE,'Additional Input'!$D$13,0))^Projections!A36,0)-TaxTables!D62+Adjustments!F36-VLOOKUP(A36,Gifts,6))</f>
        <v/>
      </c>
      <c r="T36" s="126" t="str">
        <f ca="1">IF(A36&gt;'Additional Input'!$E$11,"",N36+Q36+R36+S36)</f>
        <v/>
      </c>
      <c r="U36" s="367"/>
    </row>
    <row r="37" spans="1:21" ht="14.25" customHeight="1">
      <c r="A37" s="122">
        <f t="shared" si="0"/>
        <v>32</v>
      </c>
      <c r="B37" s="110" t="str">
        <f ca="1">IF(A37&gt;'Additional Input'!$E$11,"",IF('Additional Input'!$N$9="","",'Additional Input'!$N$9+Projections!A37)&amp;"/"&amp;IF('Additional Input'!$O$9="","",IF('Additional Input'!$O$9=0,"",'Additional Input'!$O$9+Projections!A37)))</f>
        <v/>
      </c>
      <c r="C37" s="122" t="str">
        <f ca="1">IF(A37&gt;'Additional Input'!$E$11,"",+C36+1)</f>
        <v/>
      </c>
      <c r="D37" s="159" t="str">
        <f ca="1">IF(A37&gt;'Additional Input'!$E$11,"",($D36*(1+'Additional Input'!$F$26))+$N36+$Q36+$R36+$S36+VLOOKUP(A36,Gifts,6)-VLOOKUP(A37,Gifts,6))</f>
        <v/>
      </c>
      <c r="E37" s="159" t="str">
        <f ca="1">IF(A37&gt;'Additional Input'!$E$11,"",E36*(1+'Additional Input'!$F$28))</f>
        <v/>
      </c>
      <c r="F37" s="159" t="str">
        <f ca="1">IF(A37&gt;'Additional Input'!$E$11,"",($F36*(1+'Additional Input'!$F$27))-$Q36+IF(('Additional Input'!$K$40)&gt;A36,'Additional Input'!$D$40*(1+IF('Additional Input'!$H$40=TRUE,'Additional Input'!$D$13,0))^A36,0)+IF(('Additional Input'!$K$40)&gt;A36,'Additional Input'!$F$40*(1+IF('Additional Input'!$H$40=TRUE,'Additional Input'!$D$13,0))^A36,0))</f>
        <v/>
      </c>
      <c r="G37" s="646" t="str">
        <f ca="1">IF(A37&gt;'Additional Input'!$E$11,"",-VLOOKUP(A37*12,Amortization,2))</f>
        <v/>
      </c>
      <c r="H37" s="159" t="str">
        <f ca="1">IF(A37&gt;'Additional Input'!$E$11,"",IF(A37&lt;=Calculator!$F$7,Calculator!$D$7,0)+Calculator!$D$8-IF(A37&gt;3,Calculator!$H$8,0))</f>
        <v/>
      </c>
      <c r="I37" s="159" t="str">
        <f ca="1">IF(A37&gt;'Additional Input'!$E$11,"",D37+E37+F37+G37+H37)</f>
        <v/>
      </c>
      <c r="J37" s="646" t="str">
        <f ca="1">IF(A37&gt;'Additional Input'!$E$11,"",VLOOKUP(A37,Gifts,9))</f>
        <v/>
      </c>
      <c r="K37" s="159" t="str">
        <f ca="1">IF(A37&gt;'Additional Input'!$E$11,"",IF(Calculator!$D$20=TRUE,Calculator!$I$20,0)+IF(A37&gt;3,Calculator!$H$8,0))</f>
        <v/>
      </c>
      <c r="L37" s="159" t="str">
        <f ca="1">IF(A37&gt;'Additional Input'!$E$11,"",J37+K37)</f>
        <v/>
      </c>
      <c r="M37" s="126" t="str">
        <f ca="1">IF(A37&gt;'Additional Input'!$E$11,"",(D37*'Additional Input'!$F$26)+(E37*'Additional Input'!$F$28)+(F37*'Additional Input'!$F$27))</f>
        <v/>
      </c>
      <c r="N37" s="126" t="str">
        <f ca="1">IF(A37&gt;'Additional Input'!$E$11,"",IF(('Additional Input'!$K$35)&gt;Projections!A37,'Additional Input'!$D$35*(1+IF('Additional Input'!$H$35=TRUE,'Additional Input'!$D$13,0))^Projections!A37,0)+IF(('Additional Input'!$K$36)&gt;Projections!A37,'Additional Input'!$D$36*(1+IF('Additional Input'!$H$36=TRUE,'Additional Input'!$D$13,0))^Projections!A37,0)-IF(('Additional Input'!$K$40)&gt;A37,'Additional Input'!$D$40*(1+IF('Additional Input'!$H$39=TRUE,'Additional Input'!$D$13,0))^A37,0)+IF(('Additional Input'!$F$37-'Additional Input'!$N$9)&lt;=Projections!A37,'Additional Input'!$D$37*(1+IF('Additional Input'!$H$37=TRUE,'Additional Input'!$D$13,0))^IF('Additional Input'!$K$37=TRUE,Projections!A37,Projections!A37-('Additional Input'!$F$37-'Additional Input'!$N$9)),0)+Adjustments!C37)</f>
        <v/>
      </c>
      <c r="O37" s="823" t="str">
        <f ca="1">IF(A37&gt;'Additional Input'!$E$11,"",IF(('Additional Input'!$N$9+Projections!$A37)&gt;=IF('Additional Input'!$K$44=TRUE,71,70),VLOOKUP(('Additional Input'!$N$9+Projections!$A37),UniformTable,2),0))</f>
        <v/>
      </c>
      <c r="P37" s="822" t="str">
        <f ca="1">IF(A37&gt;'Additional Input'!$E$11,"",IF($O37=0,0,$F37/$O37))</f>
        <v/>
      </c>
      <c r="Q37" s="178" t="str">
        <f ca="1">IF(A37&gt;'Additional Input'!$E$11,"",IF(IF('Additional Input'!$D$44=TRUE,IF($O37=0,0,$F37/$O37),IF('Additional Input'!$F$45-'Additional Input'!$N$9&lt;=Projections!$A37,IF($F37*(1+$F$4)&lt;'Additional Input'!$D$45*IF('Additional Input'!$H$45=TRUE,(1+'Additional Input'!$D$13)^IF('Additional Input'!$K$45=TRUE,$A37,$A37-('Additional Input'!$F$45-'Additional Input'!$N$9)),1),$F37*(1+$F$4),'Additional Input'!$D$45*IF('Additional Input'!$H$45=TRUE,(1+'Additional Input'!$D$13)^IF('Additional Input'!$K$45=TRUE,$A37,$A37-('Additional Input'!$F$45-'Additional Input'!$N$9)),1)),0))&lt;$P37,$P37,IF('Additional Input'!$D$44=TRUE,IF($O37=0,0,$F37/$O37),IF('Additional Input'!$F$45-'Additional Input'!$N$9&lt;=Projections!$A37,IF($F37*(1+$F$4)&lt;'Additional Input'!$D$45*IF('Additional Input'!$H$45=TRUE,(1+'Additional Input'!$D$13)^IF('Additional Input'!$K$45=TRUE,$A37,$A37-('Additional Input'!$F$45-'Additional Input'!$N$9)),1),$F37*(1+$F$4),'Additional Input'!$D$45*IF('Additional Input'!$H$45=TRUE,(1+'Additional Input'!$D$13)^IF('Additional Input'!$K$45=TRUE,$A37,$A37-('Additional Input'!$F$45-'Additional Input'!$N$9)),1)),0)))+Adjustments!D37)</f>
        <v/>
      </c>
      <c r="R37" s="571" t="str">
        <f ca="1">IF(A37&gt;'Additional Input'!$E$11,"",-((N37+Q37)*'Additional Input'!$D$12)+Adjustments!E37)</f>
        <v/>
      </c>
      <c r="S37" s="571" t="str">
        <f ca="1">IF(A37&gt;'Additional Input'!$E$11,"",IF($A37&gt;='Additional Input'!$D$19,-'Additional Input'!$D$18*(1+IF('Additional Input'!$F$18=TRUE,'Additional Input'!$D$13,0))^Projections!A37,0)-TaxTables!D63+Adjustments!F37-VLOOKUP(A37,Gifts,6))</f>
        <v/>
      </c>
      <c r="T37" s="126" t="str">
        <f ca="1">IF(A37&gt;'Additional Input'!$E$11,"",N37+Q37+R37+S37)</f>
        <v/>
      </c>
      <c r="U37" s="367"/>
    </row>
    <row r="38" spans="1:21" ht="14.25" customHeight="1">
      <c r="A38" s="122">
        <f t="shared" si="0"/>
        <v>33</v>
      </c>
      <c r="B38" s="110" t="str">
        <f ca="1">IF(A38&gt;'Additional Input'!$E$11,"",IF('Additional Input'!$N$9="","",'Additional Input'!$N$9+Projections!A38)&amp;"/"&amp;IF('Additional Input'!$O$9="","",IF('Additional Input'!$O$9=0,"",'Additional Input'!$O$9+Projections!A38)))</f>
        <v/>
      </c>
      <c r="C38" s="122" t="str">
        <f ca="1">IF(A38&gt;'Additional Input'!$E$11,"",+C37+1)</f>
        <v/>
      </c>
      <c r="D38" s="159" t="str">
        <f ca="1">IF(A38&gt;'Additional Input'!$E$11,"",($D37*(1+'Additional Input'!$F$26))+$N37+$Q37+$R37+$S37+VLOOKUP(A37,Gifts,6)-VLOOKUP(A38,Gifts,6))</f>
        <v/>
      </c>
      <c r="E38" s="159" t="str">
        <f ca="1">IF(A38&gt;'Additional Input'!$E$11,"",E37*(1+'Additional Input'!$F$28))</f>
        <v/>
      </c>
      <c r="F38" s="159" t="str">
        <f ca="1">IF(A38&gt;'Additional Input'!$E$11,"",($F37*(1+'Additional Input'!$F$27))-$Q37+IF(('Additional Input'!$K$40)&gt;A37,'Additional Input'!$D$40*(1+IF('Additional Input'!$H$40=TRUE,'Additional Input'!$D$13,0))^A37,0)+IF(('Additional Input'!$K$40)&gt;A37,'Additional Input'!$F$40*(1+IF('Additional Input'!$H$40=TRUE,'Additional Input'!$D$13,0))^A37,0))</f>
        <v/>
      </c>
      <c r="G38" s="646" t="str">
        <f ca="1">IF(A38&gt;'Additional Input'!$E$11,"",-VLOOKUP(A38*12,Amortization,2))</f>
        <v/>
      </c>
      <c r="H38" s="159" t="str">
        <f ca="1">IF(A38&gt;'Additional Input'!$E$11,"",IF(A38&lt;=Calculator!$F$7,Calculator!$D$7,0)+Calculator!$D$8-IF(A38&gt;3,Calculator!$H$8,0))</f>
        <v/>
      </c>
      <c r="I38" s="159" t="str">
        <f ca="1">IF(A38&gt;'Additional Input'!$E$11,"",D38+E38+F38+G38+H38)</f>
        <v/>
      </c>
      <c r="J38" s="646" t="str">
        <f ca="1">IF(A38&gt;'Additional Input'!$E$11,"",VLOOKUP(A38,Gifts,9))</f>
        <v/>
      </c>
      <c r="K38" s="159" t="str">
        <f ca="1">IF(A38&gt;'Additional Input'!$E$11,"",IF(Calculator!$D$20=TRUE,Calculator!$I$20,0)+IF(A38&gt;3,Calculator!$H$8,0))</f>
        <v/>
      </c>
      <c r="L38" s="159" t="str">
        <f ca="1">IF(A38&gt;'Additional Input'!$E$11,"",J38+K38)</f>
        <v/>
      </c>
      <c r="M38" s="126" t="str">
        <f ca="1">IF(A38&gt;'Additional Input'!$E$11,"",(D38*'Additional Input'!$F$26)+(E38*'Additional Input'!$F$28)+(F38*'Additional Input'!$F$27))</f>
        <v/>
      </c>
      <c r="N38" s="126" t="str">
        <f ca="1">IF(A38&gt;'Additional Input'!$E$11,"",IF(('Additional Input'!$K$35)&gt;Projections!A38,'Additional Input'!$D$35*(1+IF('Additional Input'!$H$35=TRUE,'Additional Input'!$D$13,0))^Projections!A38,0)+IF(('Additional Input'!$K$36)&gt;Projections!A38,'Additional Input'!$D$36*(1+IF('Additional Input'!$H$36=TRUE,'Additional Input'!$D$13,0))^Projections!A38,0)-IF(('Additional Input'!$K$40)&gt;A38,'Additional Input'!$D$40*(1+IF('Additional Input'!$H$39=TRUE,'Additional Input'!$D$13,0))^A38,0)+IF(('Additional Input'!$F$37-'Additional Input'!$N$9)&lt;=Projections!A38,'Additional Input'!$D$37*(1+IF('Additional Input'!$H$37=TRUE,'Additional Input'!$D$13,0))^IF('Additional Input'!$K$37=TRUE,Projections!A38,Projections!A38-('Additional Input'!$F$37-'Additional Input'!$N$9)),0)+Adjustments!C38)</f>
        <v/>
      </c>
      <c r="O38" s="823" t="str">
        <f ca="1">IF(A38&gt;'Additional Input'!$E$11,"",IF(('Additional Input'!$N$9+Projections!$A38)&gt;=IF('Additional Input'!$K$44=TRUE,71,70),VLOOKUP(('Additional Input'!$N$9+Projections!$A38),UniformTable,2),0))</f>
        <v/>
      </c>
      <c r="P38" s="822" t="str">
        <f ca="1">IF(A38&gt;'Additional Input'!$E$11,"",IF($O38=0,0,$F38/$O38))</f>
        <v/>
      </c>
      <c r="Q38" s="178" t="str">
        <f ca="1">IF(A38&gt;'Additional Input'!$E$11,"",IF(IF('Additional Input'!$D$44=TRUE,IF($O38=0,0,$F38/$O38),IF('Additional Input'!$F$45-'Additional Input'!$N$9&lt;=Projections!$A38,IF($F38*(1+$F$4)&lt;'Additional Input'!$D$45*IF('Additional Input'!$H$45=TRUE,(1+'Additional Input'!$D$13)^IF('Additional Input'!$K$45=TRUE,$A38,$A38-('Additional Input'!$F$45-'Additional Input'!$N$9)),1),$F38*(1+$F$4),'Additional Input'!$D$45*IF('Additional Input'!$H$45=TRUE,(1+'Additional Input'!$D$13)^IF('Additional Input'!$K$45=TRUE,$A38,$A38-('Additional Input'!$F$45-'Additional Input'!$N$9)),1)),0))&lt;$P38,$P38,IF('Additional Input'!$D$44=TRUE,IF($O38=0,0,$F38/$O38),IF('Additional Input'!$F$45-'Additional Input'!$N$9&lt;=Projections!$A38,IF($F38*(1+$F$4)&lt;'Additional Input'!$D$45*IF('Additional Input'!$H$45=TRUE,(1+'Additional Input'!$D$13)^IF('Additional Input'!$K$45=TRUE,$A38,$A38-('Additional Input'!$F$45-'Additional Input'!$N$9)),1),$F38*(1+$F$4),'Additional Input'!$D$45*IF('Additional Input'!$H$45=TRUE,(1+'Additional Input'!$D$13)^IF('Additional Input'!$K$45=TRUE,$A38,$A38-('Additional Input'!$F$45-'Additional Input'!$N$9)),1)),0)))+Adjustments!D38)</f>
        <v/>
      </c>
      <c r="R38" s="571" t="str">
        <f ca="1">IF(A38&gt;'Additional Input'!$E$11,"",-((N38+Q38)*'Additional Input'!$D$12)+Adjustments!E38)</f>
        <v/>
      </c>
      <c r="S38" s="571" t="str">
        <f ca="1">IF(A38&gt;'Additional Input'!$E$11,"",IF($A38&gt;='Additional Input'!$D$19,-'Additional Input'!$D$18*(1+IF('Additional Input'!$F$18=TRUE,'Additional Input'!$D$13,0))^Projections!A38,0)-TaxTables!D64+Adjustments!F38-VLOOKUP(A38,Gifts,6))</f>
        <v/>
      </c>
      <c r="T38" s="126" t="str">
        <f ca="1">IF(A38&gt;'Additional Input'!$E$11,"",N38+Q38+R38+S38)</f>
        <v/>
      </c>
      <c r="U38" s="367"/>
    </row>
    <row r="39" spans="1:21" ht="14.25" customHeight="1">
      <c r="A39" s="122">
        <f t="shared" si="0"/>
        <v>34</v>
      </c>
      <c r="B39" s="110" t="str">
        <f ca="1">IF(A39&gt;'Additional Input'!$E$11,"",IF('Additional Input'!$N$9="","",'Additional Input'!$N$9+Projections!A39)&amp;"/"&amp;IF('Additional Input'!$O$9="","",IF('Additional Input'!$O$9=0,"",'Additional Input'!$O$9+Projections!A39)))</f>
        <v/>
      </c>
      <c r="C39" s="122" t="str">
        <f ca="1">IF(A39&gt;'Additional Input'!$E$11,"",+C38+1)</f>
        <v/>
      </c>
      <c r="D39" s="159" t="str">
        <f ca="1">IF(A39&gt;'Additional Input'!$E$11,"",($D38*(1+'Additional Input'!$F$26))+$N38+$Q38+$R38+$S38+VLOOKUP(A38,Gifts,6)-VLOOKUP(A39,Gifts,6))</f>
        <v/>
      </c>
      <c r="E39" s="159" t="str">
        <f ca="1">IF(A39&gt;'Additional Input'!$E$11,"",E38*(1+'Additional Input'!$F$28))</f>
        <v/>
      </c>
      <c r="F39" s="159" t="str">
        <f ca="1">IF(A39&gt;'Additional Input'!$E$11,"",($F38*(1+'Additional Input'!$F$27))-$Q38+IF(('Additional Input'!$K$40)&gt;A38,'Additional Input'!$D$40*(1+IF('Additional Input'!$H$40=TRUE,'Additional Input'!$D$13,0))^A38,0)+IF(('Additional Input'!$K$40)&gt;A38,'Additional Input'!$F$40*(1+IF('Additional Input'!$H$40=TRUE,'Additional Input'!$D$13,0))^A38,0))</f>
        <v/>
      </c>
      <c r="G39" s="646" t="str">
        <f ca="1">IF(A39&gt;'Additional Input'!$E$11,"",-VLOOKUP(A39*12,Amortization,2))</f>
        <v/>
      </c>
      <c r="H39" s="159" t="str">
        <f ca="1">IF(A39&gt;'Additional Input'!$E$11,"",IF(A39&lt;=Calculator!$F$7,Calculator!$D$7,0)+Calculator!$D$8-IF(A39&gt;3,Calculator!$H$8,0))</f>
        <v/>
      </c>
      <c r="I39" s="159" t="str">
        <f ca="1">IF(A39&gt;'Additional Input'!$E$11,"",D39+E39+F39+G39+H39)</f>
        <v/>
      </c>
      <c r="J39" s="646" t="str">
        <f ca="1">IF(A39&gt;'Additional Input'!$E$11,"",VLOOKUP(A39,Gifts,9))</f>
        <v/>
      </c>
      <c r="K39" s="159" t="str">
        <f ca="1">IF(A39&gt;'Additional Input'!$E$11,"",IF(Calculator!$D$20=TRUE,Calculator!$I$20,0)+IF(A39&gt;3,Calculator!$H$8,0))</f>
        <v/>
      </c>
      <c r="L39" s="159" t="str">
        <f ca="1">IF(A39&gt;'Additional Input'!$E$11,"",J39+K39)</f>
        <v/>
      </c>
      <c r="M39" s="126" t="str">
        <f ca="1">IF(A39&gt;'Additional Input'!$E$11,"",(D39*'Additional Input'!$F$26)+(E39*'Additional Input'!$F$28)+(F39*'Additional Input'!$F$27))</f>
        <v/>
      </c>
      <c r="N39" s="126" t="str">
        <f ca="1">IF(A39&gt;'Additional Input'!$E$11,"",IF(('Additional Input'!$K$35)&gt;Projections!A39,'Additional Input'!$D$35*(1+IF('Additional Input'!$H$35=TRUE,'Additional Input'!$D$13,0))^Projections!A39,0)+IF(('Additional Input'!$K$36)&gt;Projections!A39,'Additional Input'!$D$36*(1+IF('Additional Input'!$H$36=TRUE,'Additional Input'!$D$13,0))^Projections!A39,0)-IF(('Additional Input'!$K$40)&gt;A39,'Additional Input'!$D$40*(1+IF('Additional Input'!$H$39=TRUE,'Additional Input'!$D$13,0))^A39,0)+IF(('Additional Input'!$F$37-'Additional Input'!$N$9)&lt;=Projections!A39,'Additional Input'!$D$37*(1+IF('Additional Input'!$H$37=TRUE,'Additional Input'!$D$13,0))^IF('Additional Input'!$K$37=TRUE,Projections!A39,Projections!A39-('Additional Input'!$F$37-'Additional Input'!$N$9)),0)+Adjustments!C39)</f>
        <v/>
      </c>
      <c r="O39" s="823" t="str">
        <f ca="1">IF(A39&gt;'Additional Input'!$E$11,"",IF(('Additional Input'!$N$9+Projections!$A39)&gt;=IF('Additional Input'!$K$44=TRUE,71,70),VLOOKUP(('Additional Input'!$N$9+Projections!$A39),UniformTable,2),0))</f>
        <v/>
      </c>
      <c r="P39" s="822" t="str">
        <f ca="1">IF(A39&gt;'Additional Input'!$E$11,"",IF($O39=0,0,$F39/$O39))</f>
        <v/>
      </c>
      <c r="Q39" s="178" t="str">
        <f ca="1">IF(A39&gt;'Additional Input'!$E$11,"",IF(IF('Additional Input'!$D$44=TRUE,IF($O39=0,0,$F39/$O39),IF('Additional Input'!$F$45-'Additional Input'!$N$9&lt;=Projections!$A39,IF($F39*(1+$F$4)&lt;'Additional Input'!$D$45*IF('Additional Input'!$H$45=TRUE,(1+'Additional Input'!$D$13)^IF('Additional Input'!$K$45=TRUE,$A39,$A39-('Additional Input'!$F$45-'Additional Input'!$N$9)),1),$F39*(1+$F$4),'Additional Input'!$D$45*IF('Additional Input'!$H$45=TRUE,(1+'Additional Input'!$D$13)^IF('Additional Input'!$K$45=TRUE,$A39,$A39-('Additional Input'!$F$45-'Additional Input'!$N$9)),1)),0))&lt;$P39,$P39,IF('Additional Input'!$D$44=TRUE,IF($O39=0,0,$F39/$O39),IF('Additional Input'!$F$45-'Additional Input'!$N$9&lt;=Projections!$A39,IF($F39*(1+$F$4)&lt;'Additional Input'!$D$45*IF('Additional Input'!$H$45=TRUE,(1+'Additional Input'!$D$13)^IF('Additional Input'!$K$45=TRUE,$A39,$A39-('Additional Input'!$F$45-'Additional Input'!$N$9)),1),$F39*(1+$F$4),'Additional Input'!$D$45*IF('Additional Input'!$H$45=TRUE,(1+'Additional Input'!$D$13)^IF('Additional Input'!$K$45=TRUE,$A39,$A39-('Additional Input'!$F$45-'Additional Input'!$N$9)),1)),0)))+Adjustments!D39)</f>
        <v/>
      </c>
      <c r="R39" s="571" t="str">
        <f ca="1">IF(A39&gt;'Additional Input'!$E$11,"",-((N39+Q39)*'Additional Input'!$D$12)+Adjustments!E39)</f>
        <v/>
      </c>
      <c r="S39" s="571" t="str">
        <f ca="1">IF(A39&gt;'Additional Input'!$E$11,"",IF($A39&gt;='Additional Input'!$D$19,-'Additional Input'!$D$18*(1+IF('Additional Input'!$F$18=TRUE,'Additional Input'!$D$13,0))^Projections!A39,0)-TaxTables!D65+Adjustments!F39-VLOOKUP(A39,Gifts,6))</f>
        <v/>
      </c>
      <c r="T39" s="126" t="str">
        <f ca="1">IF(A39&gt;'Additional Input'!$E$11,"",N39+Q39+R39+S39)</f>
        <v/>
      </c>
      <c r="U39" s="367"/>
    </row>
    <row r="40" spans="1:21" s="119" customFormat="1" ht="14.25" customHeight="1">
      <c r="A40" s="650">
        <f t="shared" si="0"/>
        <v>35</v>
      </c>
      <c r="B40" s="651" t="str">
        <f ca="1">IF(A40&gt;'Additional Input'!$E$11,"",IF('Additional Input'!$N$9="","",'Additional Input'!$N$9+Projections!A40)&amp;"/"&amp;IF('Additional Input'!$O$9="","",IF('Additional Input'!$O$9=0,"",'Additional Input'!$O$9+Projections!A40)))</f>
        <v/>
      </c>
      <c r="C40" s="650" t="str">
        <f ca="1">IF(A40&gt;'Additional Input'!$E$11,"",+C39+1)</f>
        <v/>
      </c>
      <c r="D40" s="652" t="str">
        <f ca="1">IF(A40&gt;'Additional Input'!$E$11,"",($D39*(1+'Additional Input'!$F$26))+$N39+$Q39+$R39+$S39+VLOOKUP(A39,Gifts,6)-VLOOKUP(A40,Gifts,6))</f>
        <v/>
      </c>
      <c r="E40" s="653" t="str">
        <f ca="1">IF(A40&gt;'Additional Input'!$E$11,"",E39*(1+'Additional Input'!$F$28))</f>
        <v/>
      </c>
      <c r="F40" s="653" t="str">
        <f ca="1">IF(A40&gt;'Additional Input'!$E$11,"",($F39*(1+'Additional Input'!$F$27))-$Q39+IF(('Additional Input'!$K$40)&gt;A39,'Additional Input'!$D$40*(1+IF('Additional Input'!$H$40=TRUE,'Additional Input'!$D$13,0))^A39,0)+IF(('Additional Input'!$K$40)&gt;A39,'Additional Input'!$F$40*(1+IF('Additional Input'!$H$40=TRUE,'Additional Input'!$D$13,0))^A39,0))</f>
        <v/>
      </c>
      <c r="G40" s="853" t="str">
        <f ca="1">IF(A40&gt;'Additional Input'!$E$11,"",-VLOOKUP(A40*12,Amortization,2))</f>
        <v/>
      </c>
      <c r="H40" s="652" t="str">
        <f ca="1">IF(A40&gt;'Additional Input'!$E$11,"",IF(A40&lt;=Calculator!$F$7,Calculator!$D$7,0)+Calculator!$D$8-IF(A40&gt;3,Calculator!$H$8,0))</f>
        <v/>
      </c>
      <c r="I40" s="652" t="str">
        <f ca="1">IF(A40&gt;'Additional Input'!$E$11,"",D40+E40+F40+G40+H40)</f>
        <v/>
      </c>
      <c r="J40" s="649" t="str">
        <f ca="1">IF(A40&gt;'Additional Input'!$E$11,"",VLOOKUP(A40,Gifts,9))</f>
        <v/>
      </c>
      <c r="K40" s="652" t="str">
        <f ca="1">IF(A40&gt;'Additional Input'!$E$11,"",IF(Calculator!$D$20=TRUE,Calculator!$I$20,0)+IF(A40&gt;3,Calculator!$H$8,0))</f>
        <v/>
      </c>
      <c r="L40" s="652" t="str">
        <f ca="1">IF(A40&gt;'Additional Input'!$E$11,"",J40+K40)</f>
        <v/>
      </c>
      <c r="M40" s="654" t="str">
        <f ca="1">IF(A40&gt;'Additional Input'!$E$11,"",(D40*'Additional Input'!$F$26)+(E40*'Additional Input'!$F$28)+(F40*'Additional Input'!$F$27))</f>
        <v/>
      </c>
      <c r="N40" s="655" t="str">
        <f ca="1">IF(A40&gt;'Additional Input'!$E$11,"",IF(('Additional Input'!$K$35)&gt;Projections!A40,'Additional Input'!$D$35*(1+IF('Additional Input'!$H$35=TRUE,'Additional Input'!$D$13,0))^Projections!A40,0)+IF(('Additional Input'!$K$36)&gt;Projections!A40,'Additional Input'!$D$36*(1+IF('Additional Input'!$H$36=TRUE,'Additional Input'!$D$13,0))^Projections!A40,0)-IF(('Additional Input'!$K$40)&gt;A40,'Additional Input'!$D$40*(1+IF('Additional Input'!$H$39=TRUE,'Additional Input'!$D$13,0))^A40,0)+IF(('Additional Input'!$F$37-'Additional Input'!$N$9)&lt;=Projections!A40,'Additional Input'!$D$37*(1+IF('Additional Input'!$H$37=TRUE,'Additional Input'!$D$13,0))^IF('Additional Input'!$K$37=TRUE,Projections!A40,Projections!A40-('Additional Input'!$F$37-'Additional Input'!$N$9)),0)+Adjustments!C40)</f>
        <v/>
      </c>
      <c r="O40" s="824" t="str">
        <f ca="1">IF(A40&gt;'Additional Input'!$E$11,"",IF(('Additional Input'!$N$9+Projections!$A40)&gt;=IF('Additional Input'!$K$44=TRUE,71,70),VLOOKUP(('Additional Input'!$N$9+Projections!$A40),UniformTable,2),0))</f>
        <v/>
      </c>
      <c r="P40" s="825" t="str">
        <f ca="1">IF(A40&gt;'Additional Input'!$E$11,"",IF($O40=0,0,$F40/$O40))</f>
        <v/>
      </c>
      <c r="Q40" s="655" t="str">
        <f ca="1">IF(A40&gt;'Additional Input'!$E$11,"",IF(IF('Additional Input'!$D$44=TRUE,IF($O40=0,0,$F40/$O40),IF('Additional Input'!$F$45-'Additional Input'!$N$9&lt;=Projections!$A40,IF($F40*(1+$F$4)&lt;'Additional Input'!$D$45*IF('Additional Input'!$H$45=TRUE,(1+'Additional Input'!$D$13)^IF('Additional Input'!$K$45=TRUE,$A40,$A40-('Additional Input'!$F$45-'Additional Input'!$N$9)),1),$F40*(1+$F$4),'Additional Input'!$D$45*IF('Additional Input'!$H$45=TRUE,(1+'Additional Input'!$D$13)^IF('Additional Input'!$K$45=TRUE,$A40,$A40-('Additional Input'!$F$45-'Additional Input'!$N$9)),1)),0))&lt;$P40,$P40,IF('Additional Input'!$D$44=TRUE,IF($O40=0,0,$F40/$O40),IF('Additional Input'!$F$45-'Additional Input'!$N$9&lt;=Projections!$A40,IF($F40*(1+$F$4)&lt;'Additional Input'!$D$45*IF('Additional Input'!$H$45=TRUE,(1+'Additional Input'!$D$13)^IF('Additional Input'!$K$45=TRUE,$A40,$A40-('Additional Input'!$F$45-'Additional Input'!$N$9)),1),$F40*(1+$F$4),'Additional Input'!$D$45*IF('Additional Input'!$H$45=TRUE,(1+'Additional Input'!$D$13)^IF('Additional Input'!$K$45=TRUE,$A40,$A40-('Additional Input'!$F$45-'Additional Input'!$N$9)),1)),0)))+Adjustments!D40)</f>
        <v/>
      </c>
      <c r="R40" s="656" t="str">
        <f ca="1">IF(A40&gt;'Additional Input'!$E$11,"",-((N40+Q40)*'Additional Input'!$D$12)+Adjustments!E40)</f>
        <v/>
      </c>
      <c r="S40" s="656" t="str">
        <f ca="1">IF(A40&gt;'Additional Input'!$E$11,"",IF($A40&gt;='Additional Input'!$D$19,-'Additional Input'!$D$18*(1+IF('Additional Input'!$F$18=TRUE,'Additional Input'!$D$13,0))^Projections!A40,0)-TaxTables!D66+Adjustments!F40-VLOOKUP(A40,Gifts,6))</f>
        <v/>
      </c>
      <c r="T40" s="654" t="str">
        <f ca="1">IF(A40&gt;'Additional Input'!$E$11,"",N40+Q40+R40+S40)</f>
        <v/>
      </c>
      <c r="U40" s="637"/>
    </row>
    <row r="41" spans="1:21" ht="14.25" customHeight="1">
      <c r="A41" s="122">
        <f t="shared" si="0"/>
        <v>36</v>
      </c>
      <c r="B41" s="110" t="str">
        <f ca="1">IF(A41&gt;'Additional Input'!$E$11,"",IF('Additional Input'!$N$9="","",'Additional Input'!$N$9+Projections!A41)&amp;"/"&amp;IF('Additional Input'!$O$9="","",IF('Additional Input'!$O$9=0,"",'Additional Input'!$O$9+Projections!A41)))</f>
        <v/>
      </c>
      <c r="C41" s="122" t="str">
        <f ca="1">IF(A41&gt;'Additional Input'!$E$11,"",+C40+1)</f>
        <v/>
      </c>
      <c r="D41" s="159" t="str">
        <f ca="1">IF(A41&gt;'Additional Input'!$E$11,"",($D40*(1+'Additional Input'!$F$26))+$N40+$Q40+$R40+$S40+VLOOKUP(A40,Gifts,6)-VLOOKUP(A41,Gifts,6))</f>
        <v/>
      </c>
      <c r="E41" s="159" t="str">
        <f ca="1">IF(A41&gt;'Additional Input'!$E$11,"",E40*(1+'Additional Input'!$F$28))</f>
        <v/>
      </c>
      <c r="F41" s="159" t="str">
        <f ca="1">IF(A41&gt;'Additional Input'!$E$11,"",($F40*(1+'Additional Input'!$F$27))-$Q40+IF(('Additional Input'!$K$40)&gt;A40,'Additional Input'!$D$40*(1+IF('Additional Input'!$H$40=TRUE,'Additional Input'!$D$13,0))^A40,0)+IF(('Additional Input'!$K$40)&gt;A40,'Additional Input'!$F$40*(1+IF('Additional Input'!$H$40=TRUE,'Additional Input'!$D$13,0))^A40,0))</f>
        <v/>
      </c>
      <c r="G41" s="646" t="str">
        <f ca="1">IF(A41&gt;'Additional Input'!$E$11,"",-VLOOKUP(A41*12,Amortization,2))</f>
        <v/>
      </c>
      <c r="H41" s="159" t="str">
        <f ca="1">IF(A41&gt;'Additional Input'!$E$11,"",IF(A41&lt;=Calculator!$F$7,Calculator!$D$7,0)+Calculator!$D$8-IF(A41&gt;3,Calculator!$H$8,0))</f>
        <v/>
      </c>
      <c r="I41" s="159" t="str">
        <f ca="1">IF(A41&gt;'Additional Input'!$E$11,"",D41+E41+F41+G41+H41)</f>
        <v/>
      </c>
      <c r="J41" s="646" t="str">
        <f ca="1">IF(A41&gt;'Additional Input'!$E$11,"",VLOOKUP(A41,Gifts,9))</f>
        <v/>
      </c>
      <c r="K41" s="159" t="str">
        <f ca="1">IF(A41&gt;'Additional Input'!$E$11,"",IF(Calculator!$D$20=TRUE,Calculator!$I$20,0)+IF(A41&gt;3,Calculator!$H$8,0))</f>
        <v/>
      </c>
      <c r="L41" s="159" t="str">
        <f ca="1">IF(A41&gt;'Additional Input'!$E$11,"",J41+K41)</f>
        <v/>
      </c>
      <c r="M41" s="126" t="str">
        <f ca="1">IF(A41&gt;'Additional Input'!$E$11,"",(D41*'Additional Input'!$F$26)+(E41*'Additional Input'!$F$28)+(F41*'Additional Input'!$F$27))</f>
        <v/>
      </c>
      <c r="N41" s="126" t="str">
        <f ca="1">IF(A41&gt;'Additional Input'!$E$11,"",IF(('Additional Input'!$K$35)&gt;Projections!A41,'Additional Input'!$D$35*(1+IF('Additional Input'!$H$35=TRUE,'Additional Input'!$D$13,0))^Projections!A41,0)+IF(('Additional Input'!$K$36)&gt;Projections!A41,'Additional Input'!$D$36*(1+IF('Additional Input'!$H$36=TRUE,'Additional Input'!$D$13,0))^Projections!A41,0)-IF(('Additional Input'!$K$40)&gt;A41,'Additional Input'!$D$40*(1+IF('Additional Input'!$H$39=TRUE,'Additional Input'!$D$13,0))^A41,0)+IF(('Additional Input'!$F$37-'Additional Input'!$N$9)&lt;=Projections!A41,'Additional Input'!$D$37*(1+IF('Additional Input'!$H$37=TRUE,'Additional Input'!$D$13,0))^IF('Additional Input'!$K$37=TRUE,Projections!A41,Projections!A41-('Additional Input'!$F$37-'Additional Input'!$N$9)),0)+Adjustments!C41)</f>
        <v/>
      </c>
      <c r="O41" s="823" t="str">
        <f ca="1">IF(A41&gt;'Additional Input'!$E$11,"",IF(('Additional Input'!$N$9+Projections!$A41)&gt;=IF('Additional Input'!$K$44=TRUE,71,70),VLOOKUP(('Additional Input'!$N$9+Projections!$A41),UniformTable,2),0))</f>
        <v/>
      </c>
      <c r="P41" s="822" t="str">
        <f ca="1">IF(A41&gt;'Additional Input'!$E$11,"",IF($O41=0,0,$F41/$O41))</f>
        <v/>
      </c>
      <c r="Q41" s="178" t="str">
        <f ca="1">IF(A41&gt;'Additional Input'!$E$11,"",IF(IF('Additional Input'!$D$44=TRUE,IF($O41=0,0,$F41/$O41),IF('Additional Input'!$F$45-'Additional Input'!$N$9&lt;=Projections!$A41,IF($F41*(1+$F$4)&lt;'Additional Input'!$D$45*IF('Additional Input'!$H$45=TRUE,(1+'Additional Input'!$D$13)^IF('Additional Input'!$K$45=TRUE,$A41,$A41-('Additional Input'!$F$45-'Additional Input'!$N$9)),1),$F41*(1+$F$4),'Additional Input'!$D$45*IF('Additional Input'!$H$45=TRUE,(1+'Additional Input'!$D$13)^IF('Additional Input'!$K$45=TRUE,$A41,$A41-('Additional Input'!$F$45-'Additional Input'!$N$9)),1)),0))&lt;$P41,$P41,IF('Additional Input'!$D$44=TRUE,IF($O41=0,0,$F41/$O41),IF('Additional Input'!$F$45-'Additional Input'!$N$9&lt;=Projections!$A41,IF($F41*(1+$F$4)&lt;'Additional Input'!$D$45*IF('Additional Input'!$H$45=TRUE,(1+'Additional Input'!$D$13)^IF('Additional Input'!$K$45=TRUE,$A41,$A41-('Additional Input'!$F$45-'Additional Input'!$N$9)),1),$F41*(1+$F$4),'Additional Input'!$D$45*IF('Additional Input'!$H$45=TRUE,(1+'Additional Input'!$D$13)^IF('Additional Input'!$K$45=TRUE,$A41,$A41-('Additional Input'!$F$45-'Additional Input'!$N$9)),1)),0)))+Adjustments!D41)</f>
        <v/>
      </c>
      <c r="R41" s="571" t="str">
        <f ca="1">IF(A41&gt;'Additional Input'!$E$11,"",-((N41+Q41)*'Additional Input'!$D$12)+Adjustments!E41)</f>
        <v/>
      </c>
      <c r="S41" s="571" t="str">
        <f ca="1">IF(A41&gt;'Additional Input'!$E$11,"",IF($A41&gt;='Additional Input'!$D$19,-'Additional Input'!$D$18*(1+IF('Additional Input'!$F$18=TRUE,'Additional Input'!$D$13,0))^Projections!A41,0)-TaxTables!D67+Adjustments!F41-VLOOKUP(A41,Gifts,6))</f>
        <v/>
      </c>
      <c r="T41" s="126" t="str">
        <f ca="1">IF(A41&gt;'Additional Input'!$E$11,"",N41+Q41+R41+S41)</f>
        <v/>
      </c>
      <c r="U41" s="367"/>
    </row>
    <row r="42" spans="1:21" ht="14.25" customHeight="1">
      <c r="A42" s="122">
        <f t="shared" si="0"/>
        <v>37</v>
      </c>
      <c r="B42" s="110" t="str">
        <f ca="1">IF(A42&gt;'Additional Input'!$E$11,"",IF('Additional Input'!$N$9="","",'Additional Input'!$N$9+Projections!A42)&amp;"/"&amp;IF('Additional Input'!$O$9="","",IF('Additional Input'!$O$9=0,"",'Additional Input'!$O$9+Projections!A42)))</f>
        <v/>
      </c>
      <c r="C42" s="122" t="str">
        <f ca="1">IF(A42&gt;'Additional Input'!$E$11,"",+C41+1)</f>
        <v/>
      </c>
      <c r="D42" s="159" t="str">
        <f ca="1">IF(A42&gt;'Additional Input'!$E$11,"",($D41*(1+'Additional Input'!$F$26))+$N41+$Q41+$R41+$S41+VLOOKUP(A41,Gifts,6)-VLOOKUP(A42,Gifts,6))</f>
        <v/>
      </c>
      <c r="E42" s="159" t="str">
        <f ca="1">IF(A42&gt;'Additional Input'!$E$11,"",E41*(1+'Additional Input'!$F$28))</f>
        <v/>
      </c>
      <c r="F42" s="159" t="str">
        <f ca="1">IF(A42&gt;'Additional Input'!$E$11,"",($F41*(1+'Additional Input'!$F$27))-$Q41+IF(('Additional Input'!$K$40)&gt;A41,'Additional Input'!$D$40*(1+IF('Additional Input'!$H$40=TRUE,'Additional Input'!$D$13,0))^A41,0)+IF(('Additional Input'!$K$40)&gt;A41,'Additional Input'!$F$40*(1+IF('Additional Input'!$H$40=TRUE,'Additional Input'!$D$13,0))^A41,0))</f>
        <v/>
      </c>
      <c r="G42" s="646" t="str">
        <f ca="1">IF(A42&gt;'Additional Input'!$E$11,"",-VLOOKUP(A42*12,Amortization,2))</f>
        <v/>
      </c>
      <c r="H42" s="159" t="str">
        <f ca="1">IF(A42&gt;'Additional Input'!$E$11,"",IF(A42&lt;=Calculator!$F$7,Calculator!$D$7,0)+Calculator!$D$8-IF(A42&gt;3,Calculator!$H$8,0))</f>
        <v/>
      </c>
      <c r="I42" s="159" t="str">
        <f ca="1">IF(A42&gt;'Additional Input'!$E$11,"",D42+E42+F42+G42+H42)</f>
        <v/>
      </c>
      <c r="J42" s="646" t="str">
        <f ca="1">IF(A42&gt;'Additional Input'!$E$11,"",VLOOKUP(A42,Gifts,9))</f>
        <v/>
      </c>
      <c r="K42" s="159" t="str">
        <f ca="1">IF(A42&gt;'Additional Input'!$E$11,"",IF(Calculator!$D$20=TRUE,Calculator!$I$20,0)+IF(A42&gt;3,Calculator!$H$8,0))</f>
        <v/>
      </c>
      <c r="L42" s="159" t="str">
        <f ca="1">IF(A42&gt;'Additional Input'!$E$11,"",J42+K42)</f>
        <v/>
      </c>
      <c r="M42" s="126" t="str">
        <f ca="1">IF(A42&gt;'Additional Input'!$E$11,"",(D42*'Additional Input'!$F$26)+(E42*'Additional Input'!$F$28)+(F42*'Additional Input'!$F$27))</f>
        <v/>
      </c>
      <c r="N42" s="126" t="str">
        <f ca="1">IF(A42&gt;'Additional Input'!$E$11,"",IF(('Additional Input'!$K$35)&gt;Projections!A42,'Additional Input'!$D$35*(1+IF('Additional Input'!$H$35=TRUE,'Additional Input'!$D$13,0))^Projections!A42,0)+IF(('Additional Input'!$K$36)&gt;Projections!A42,'Additional Input'!$D$36*(1+IF('Additional Input'!$H$36=TRUE,'Additional Input'!$D$13,0))^Projections!A42,0)-IF(('Additional Input'!$K$40)&gt;A42,'Additional Input'!$D$40*(1+IF('Additional Input'!$H$39=TRUE,'Additional Input'!$D$13,0))^A42,0)+IF(('Additional Input'!$F$37-'Additional Input'!$N$9)&lt;=Projections!A42,'Additional Input'!$D$37*(1+IF('Additional Input'!$H$37=TRUE,'Additional Input'!$D$13,0))^IF('Additional Input'!$K$37=TRUE,Projections!A42,Projections!A42-('Additional Input'!$F$37-'Additional Input'!$N$9)),0)+Adjustments!C42)</f>
        <v/>
      </c>
      <c r="O42" s="823" t="str">
        <f ca="1">IF(A42&gt;'Additional Input'!$E$11,"",IF(('Additional Input'!$N$9+Projections!$A42)&gt;=IF('Additional Input'!$K$44=TRUE,71,70),VLOOKUP(('Additional Input'!$N$9+Projections!$A42),UniformTable,2),0))</f>
        <v/>
      </c>
      <c r="P42" s="822" t="str">
        <f ca="1">IF(A42&gt;'Additional Input'!$E$11,"",IF($O42=0,0,$F42/$O42))</f>
        <v/>
      </c>
      <c r="Q42" s="178" t="str">
        <f ca="1">IF(A42&gt;'Additional Input'!$E$11,"",IF(IF('Additional Input'!$D$44=TRUE,IF($O42=0,0,$F42/$O42),IF('Additional Input'!$F$45-'Additional Input'!$N$9&lt;=Projections!$A42,IF($F42*(1+$F$4)&lt;'Additional Input'!$D$45*IF('Additional Input'!$H$45=TRUE,(1+'Additional Input'!$D$13)^IF('Additional Input'!$K$45=TRUE,$A42,$A42-('Additional Input'!$F$45-'Additional Input'!$N$9)),1),$F42*(1+$F$4),'Additional Input'!$D$45*IF('Additional Input'!$H$45=TRUE,(1+'Additional Input'!$D$13)^IF('Additional Input'!$K$45=TRUE,$A42,$A42-('Additional Input'!$F$45-'Additional Input'!$N$9)),1)),0))&lt;$P42,$P42,IF('Additional Input'!$D$44=TRUE,IF($O42=0,0,$F42/$O42),IF('Additional Input'!$F$45-'Additional Input'!$N$9&lt;=Projections!$A42,IF($F42*(1+$F$4)&lt;'Additional Input'!$D$45*IF('Additional Input'!$H$45=TRUE,(1+'Additional Input'!$D$13)^IF('Additional Input'!$K$45=TRUE,$A42,$A42-('Additional Input'!$F$45-'Additional Input'!$N$9)),1),$F42*(1+$F$4),'Additional Input'!$D$45*IF('Additional Input'!$H$45=TRUE,(1+'Additional Input'!$D$13)^IF('Additional Input'!$K$45=TRUE,$A42,$A42-('Additional Input'!$F$45-'Additional Input'!$N$9)),1)),0)))+Adjustments!D42)</f>
        <v/>
      </c>
      <c r="R42" s="571" t="str">
        <f ca="1">IF(A42&gt;'Additional Input'!$E$11,"",-((N42+Q42)*'Additional Input'!$D$12)+Adjustments!E42)</f>
        <v/>
      </c>
      <c r="S42" s="571" t="str">
        <f ca="1">IF(A42&gt;'Additional Input'!$E$11,"",IF($A42&gt;='Additional Input'!$D$19,-'Additional Input'!$D$18*(1+IF('Additional Input'!$F$18=TRUE,'Additional Input'!$D$13,0))^Projections!A42,0)-TaxTables!D68+Adjustments!F42-VLOOKUP(A42,Gifts,6))</f>
        <v/>
      </c>
      <c r="T42" s="126" t="str">
        <f ca="1">IF(A42&gt;'Additional Input'!$E$11,"",N42+Q42+R42+S42)</f>
        <v/>
      </c>
      <c r="U42" s="367"/>
    </row>
    <row r="43" spans="1:21" ht="14.25" customHeight="1">
      <c r="A43" s="122">
        <f t="shared" si="0"/>
        <v>38</v>
      </c>
      <c r="B43" s="110" t="str">
        <f ca="1">IF(A43&gt;'Additional Input'!$E$11,"",IF('Additional Input'!$N$9="","",'Additional Input'!$N$9+Projections!A43)&amp;"/"&amp;IF('Additional Input'!$O$9="","",IF('Additional Input'!$O$9=0,"",'Additional Input'!$O$9+Projections!A43)))</f>
        <v/>
      </c>
      <c r="C43" s="122" t="str">
        <f ca="1">IF(A43&gt;'Additional Input'!$E$11,"",+C42+1)</f>
        <v/>
      </c>
      <c r="D43" s="159" t="str">
        <f ca="1">IF(A43&gt;'Additional Input'!$E$11,"",($D42*(1+'Additional Input'!$F$26))+$N42+$Q42+$R42+$S42+VLOOKUP(A42,Gifts,6)-VLOOKUP(A43,Gifts,6))</f>
        <v/>
      </c>
      <c r="E43" s="159" t="str">
        <f ca="1">IF(A43&gt;'Additional Input'!$E$11,"",E42*(1+'Additional Input'!$F$28))</f>
        <v/>
      </c>
      <c r="F43" s="159" t="str">
        <f ca="1">IF(A43&gt;'Additional Input'!$E$11,"",($F42*(1+'Additional Input'!$F$27))-$Q42+IF(('Additional Input'!$K$40)&gt;A42,'Additional Input'!$D$40*(1+IF('Additional Input'!$H$40=TRUE,'Additional Input'!$D$13,0))^A42,0)+IF(('Additional Input'!$K$40)&gt;A42,'Additional Input'!$F$40*(1+IF('Additional Input'!$H$40=TRUE,'Additional Input'!$D$13,0))^A42,0))</f>
        <v/>
      </c>
      <c r="G43" s="646" t="str">
        <f ca="1">IF(A43&gt;'Additional Input'!$E$11,"",-VLOOKUP(A43*12,Amortization,2))</f>
        <v/>
      </c>
      <c r="H43" s="159" t="str">
        <f ca="1">IF(A43&gt;'Additional Input'!$E$11,"",IF(A43&lt;=Calculator!$F$7,Calculator!$D$7,0)+Calculator!$D$8-IF(A43&gt;3,Calculator!$H$8,0))</f>
        <v/>
      </c>
      <c r="I43" s="159" t="str">
        <f ca="1">IF(A43&gt;'Additional Input'!$E$11,"",D43+E43+F43+G43+H43)</f>
        <v/>
      </c>
      <c r="J43" s="646" t="str">
        <f ca="1">IF(A43&gt;'Additional Input'!$E$11,"",VLOOKUP(A43,Gifts,9))</f>
        <v/>
      </c>
      <c r="K43" s="159" t="str">
        <f ca="1">IF(A43&gt;'Additional Input'!$E$11,"",IF(Calculator!$D$20=TRUE,Calculator!$I$20,0)+IF(A43&gt;3,Calculator!$H$8,0))</f>
        <v/>
      </c>
      <c r="L43" s="159" t="str">
        <f ca="1">IF(A43&gt;'Additional Input'!$E$11,"",J43+K43)</f>
        <v/>
      </c>
      <c r="M43" s="126" t="str">
        <f ca="1">IF(A43&gt;'Additional Input'!$E$11,"",(D43*'Additional Input'!$F$26)+(E43*'Additional Input'!$F$28)+(F43*'Additional Input'!$F$27))</f>
        <v/>
      </c>
      <c r="N43" s="126" t="str">
        <f ca="1">IF(A43&gt;'Additional Input'!$E$11,"",IF(('Additional Input'!$K$35)&gt;Projections!A43,'Additional Input'!$D$35*(1+IF('Additional Input'!$H$35=TRUE,'Additional Input'!$D$13,0))^Projections!A43,0)+IF(('Additional Input'!$K$36)&gt;Projections!A43,'Additional Input'!$D$36*(1+IF('Additional Input'!$H$36=TRUE,'Additional Input'!$D$13,0))^Projections!A43,0)-IF(('Additional Input'!$K$40)&gt;A43,'Additional Input'!$D$40*(1+IF('Additional Input'!$H$39=TRUE,'Additional Input'!$D$13,0))^A43,0)+IF(('Additional Input'!$F$37-'Additional Input'!$N$9)&lt;=Projections!A43,'Additional Input'!$D$37*(1+IF('Additional Input'!$H$37=TRUE,'Additional Input'!$D$13,0))^IF('Additional Input'!$K$37=TRUE,Projections!A43,Projections!A43-('Additional Input'!$F$37-'Additional Input'!$N$9)),0)+Adjustments!C43)</f>
        <v/>
      </c>
      <c r="O43" s="823" t="str">
        <f ca="1">IF(A43&gt;'Additional Input'!$E$11,"",IF(('Additional Input'!$N$9+Projections!$A43)&gt;=IF('Additional Input'!$K$44=TRUE,71,70),VLOOKUP(('Additional Input'!$N$9+Projections!$A43),UniformTable,2),0))</f>
        <v/>
      </c>
      <c r="P43" s="822" t="str">
        <f ca="1">IF(A43&gt;'Additional Input'!$E$11,"",IF($O43=0,0,$F43/$O43))</f>
        <v/>
      </c>
      <c r="Q43" s="178" t="str">
        <f ca="1">IF(A43&gt;'Additional Input'!$E$11,"",IF(IF('Additional Input'!$D$44=TRUE,IF($O43=0,0,$F43/$O43),IF('Additional Input'!$F$45-'Additional Input'!$N$9&lt;=Projections!$A43,IF($F43*(1+$F$4)&lt;'Additional Input'!$D$45*IF('Additional Input'!$H$45=TRUE,(1+'Additional Input'!$D$13)^IF('Additional Input'!$K$45=TRUE,$A43,$A43-('Additional Input'!$F$45-'Additional Input'!$N$9)),1),$F43*(1+$F$4),'Additional Input'!$D$45*IF('Additional Input'!$H$45=TRUE,(1+'Additional Input'!$D$13)^IF('Additional Input'!$K$45=TRUE,$A43,$A43-('Additional Input'!$F$45-'Additional Input'!$N$9)),1)),0))&lt;$P43,$P43,IF('Additional Input'!$D$44=TRUE,IF($O43=0,0,$F43/$O43),IF('Additional Input'!$F$45-'Additional Input'!$N$9&lt;=Projections!$A43,IF($F43*(1+$F$4)&lt;'Additional Input'!$D$45*IF('Additional Input'!$H$45=TRUE,(1+'Additional Input'!$D$13)^IF('Additional Input'!$K$45=TRUE,$A43,$A43-('Additional Input'!$F$45-'Additional Input'!$N$9)),1),$F43*(1+$F$4),'Additional Input'!$D$45*IF('Additional Input'!$H$45=TRUE,(1+'Additional Input'!$D$13)^IF('Additional Input'!$K$45=TRUE,$A43,$A43-('Additional Input'!$F$45-'Additional Input'!$N$9)),1)),0)))+Adjustments!D43)</f>
        <v/>
      </c>
      <c r="R43" s="571" t="str">
        <f ca="1">IF(A43&gt;'Additional Input'!$E$11,"",-((N43+Q43)*'Additional Input'!$D$12)+Adjustments!E43)</f>
        <v/>
      </c>
      <c r="S43" s="571" t="str">
        <f ca="1">IF(A43&gt;'Additional Input'!$E$11,"",IF($A43&gt;='Additional Input'!$D$19,-'Additional Input'!$D$18*(1+IF('Additional Input'!$F$18=TRUE,'Additional Input'!$D$13,0))^Projections!A43,0)-TaxTables!D69+Adjustments!F43-VLOOKUP(A43,Gifts,6))</f>
        <v/>
      </c>
      <c r="T43" s="126" t="str">
        <f ca="1">IF(A43&gt;'Additional Input'!$E$11,"",N43+Q43+R43+S43)</f>
        <v/>
      </c>
      <c r="U43" s="367"/>
    </row>
    <row r="44" spans="1:21" ht="14.25" customHeight="1">
      <c r="A44" s="122">
        <f t="shared" si="0"/>
        <v>39</v>
      </c>
      <c r="B44" s="110" t="str">
        <f ca="1">IF(A44&gt;'Additional Input'!$E$11,"",IF('Additional Input'!$N$9="","",'Additional Input'!$N$9+Projections!A44)&amp;"/"&amp;IF('Additional Input'!$O$9="","",IF('Additional Input'!$O$9=0,"",'Additional Input'!$O$9+Projections!A44)))</f>
        <v/>
      </c>
      <c r="C44" s="122" t="str">
        <f ca="1">IF(A44&gt;'Additional Input'!$E$11,"",+C43+1)</f>
        <v/>
      </c>
      <c r="D44" s="159" t="str">
        <f ca="1">IF(A44&gt;'Additional Input'!$E$11,"",($D43*(1+'Additional Input'!$F$26))+$N43+$Q43+$R43+$S43+VLOOKUP(A43,Gifts,6)-VLOOKUP(A44,Gifts,6))</f>
        <v/>
      </c>
      <c r="E44" s="159" t="str">
        <f ca="1">IF(A44&gt;'Additional Input'!$E$11,"",E43*(1+'Additional Input'!$F$28))</f>
        <v/>
      </c>
      <c r="F44" s="159" t="str">
        <f ca="1">IF(A44&gt;'Additional Input'!$E$11,"",($F43*(1+'Additional Input'!$F$27))-$Q43+IF(('Additional Input'!$K$40)&gt;A43,'Additional Input'!$D$40*(1+IF('Additional Input'!$H$40=TRUE,'Additional Input'!$D$13,0))^A43,0)+IF(('Additional Input'!$K$40)&gt;A43,'Additional Input'!$F$40*(1+IF('Additional Input'!$H$40=TRUE,'Additional Input'!$D$13,0))^A43,0))</f>
        <v/>
      </c>
      <c r="G44" s="646" t="str">
        <f ca="1">IF(A44&gt;'Additional Input'!$E$11,"",-VLOOKUP(A44*12,Amortization,2))</f>
        <v/>
      </c>
      <c r="H44" s="159" t="str">
        <f ca="1">IF(A44&gt;'Additional Input'!$E$11,"",IF(A44&lt;=Calculator!$F$7,Calculator!$D$7,0)+Calculator!$D$8-IF(A44&gt;3,Calculator!$H$8,0))</f>
        <v/>
      </c>
      <c r="I44" s="159" t="str">
        <f ca="1">IF(A44&gt;'Additional Input'!$E$11,"",D44+E44+F44+G44+H44)</f>
        <v/>
      </c>
      <c r="J44" s="646" t="str">
        <f ca="1">IF(A44&gt;'Additional Input'!$E$11,"",VLOOKUP(A44,Gifts,9))</f>
        <v/>
      </c>
      <c r="K44" s="159" t="str">
        <f ca="1">IF(A44&gt;'Additional Input'!$E$11,"",IF(Calculator!$D$20=TRUE,Calculator!$I$20,0)+IF(A44&gt;3,Calculator!$H$8,0))</f>
        <v/>
      </c>
      <c r="L44" s="159" t="str">
        <f ca="1">IF(A44&gt;'Additional Input'!$E$11,"",J44+K44)</f>
        <v/>
      </c>
      <c r="M44" s="126" t="str">
        <f ca="1">IF(A44&gt;'Additional Input'!$E$11,"",(D44*'Additional Input'!$F$26)+(E44*'Additional Input'!$F$28)+(F44*'Additional Input'!$F$27))</f>
        <v/>
      </c>
      <c r="N44" s="126" t="str">
        <f ca="1">IF(A44&gt;'Additional Input'!$E$11,"",IF(('Additional Input'!$K$35)&gt;Projections!A44,'Additional Input'!$D$35*(1+IF('Additional Input'!$H$35=TRUE,'Additional Input'!$D$13,0))^Projections!A44,0)+IF(('Additional Input'!$K$36)&gt;Projections!A44,'Additional Input'!$D$36*(1+IF('Additional Input'!$H$36=TRUE,'Additional Input'!$D$13,0))^Projections!A44,0)-IF(('Additional Input'!$K$40)&gt;A44,'Additional Input'!$D$40*(1+IF('Additional Input'!$H$39=TRUE,'Additional Input'!$D$13,0))^A44,0)+IF(('Additional Input'!$F$37-'Additional Input'!$N$9)&lt;=Projections!A44,'Additional Input'!$D$37*(1+IF('Additional Input'!$H$37=TRUE,'Additional Input'!$D$13,0))^IF('Additional Input'!$K$37=TRUE,Projections!A44,Projections!A44-('Additional Input'!$F$37-'Additional Input'!$N$9)),0)+Adjustments!C44)</f>
        <v/>
      </c>
      <c r="O44" s="823" t="str">
        <f ca="1">IF(A44&gt;'Additional Input'!$E$11,"",IF(('Additional Input'!$N$9+Projections!$A44)&gt;=IF('Additional Input'!$K$44=TRUE,71,70),VLOOKUP(('Additional Input'!$N$9+Projections!$A44),UniformTable,2),0))</f>
        <v/>
      </c>
      <c r="P44" s="822" t="str">
        <f ca="1">IF(A44&gt;'Additional Input'!$E$11,"",IF($O44=0,0,$F44/$O44))</f>
        <v/>
      </c>
      <c r="Q44" s="178" t="str">
        <f ca="1">IF(A44&gt;'Additional Input'!$E$11,"",IF(IF('Additional Input'!$D$44=TRUE,IF($O44=0,0,$F44/$O44),IF('Additional Input'!$F$45-'Additional Input'!$N$9&lt;=Projections!$A44,IF($F44*(1+$F$4)&lt;'Additional Input'!$D$45*IF('Additional Input'!$H$45=TRUE,(1+'Additional Input'!$D$13)^IF('Additional Input'!$K$45=TRUE,$A44,$A44-('Additional Input'!$F$45-'Additional Input'!$N$9)),1),$F44*(1+$F$4),'Additional Input'!$D$45*IF('Additional Input'!$H$45=TRUE,(1+'Additional Input'!$D$13)^IF('Additional Input'!$K$45=TRUE,$A44,$A44-('Additional Input'!$F$45-'Additional Input'!$N$9)),1)),0))&lt;$P44,$P44,IF('Additional Input'!$D$44=TRUE,IF($O44=0,0,$F44/$O44),IF('Additional Input'!$F$45-'Additional Input'!$N$9&lt;=Projections!$A44,IF($F44*(1+$F$4)&lt;'Additional Input'!$D$45*IF('Additional Input'!$H$45=TRUE,(1+'Additional Input'!$D$13)^IF('Additional Input'!$K$45=TRUE,$A44,$A44-('Additional Input'!$F$45-'Additional Input'!$N$9)),1),$F44*(1+$F$4),'Additional Input'!$D$45*IF('Additional Input'!$H$45=TRUE,(1+'Additional Input'!$D$13)^IF('Additional Input'!$K$45=TRUE,$A44,$A44-('Additional Input'!$F$45-'Additional Input'!$N$9)),1)),0)))+Adjustments!D44)</f>
        <v/>
      </c>
      <c r="R44" s="571" t="str">
        <f ca="1">IF(A44&gt;'Additional Input'!$E$11,"",-((N44+Q44)*'Additional Input'!$D$12)+Adjustments!E44)</f>
        <v/>
      </c>
      <c r="S44" s="571" t="str">
        <f ca="1">IF(A44&gt;'Additional Input'!$E$11,"",IF($A44&gt;='Additional Input'!$D$19,-'Additional Input'!$D$18*(1+IF('Additional Input'!$F$18=TRUE,'Additional Input'!$D$13,0))^Projections!A44,0)-TaxTables!D70+Adjustments!F44-VLOOKUP(A44,Gifts,6))</f>
        <v/>
      </c>
      <c r="T44" s="126" t="str">
        <f ca="1">IF(A44&gt;'Additional Input'!$E$11,"",N44+Q44+R44+S44)</f>
        <v/>
      </c>
      <c r="U44" s="367"/>
    </row>
    <row r="45" spans="1:21" s="119" customFormat="1" ht="14.25" customHeight="1">
      <c r="A45" s="650">
        <f t="shared" si="0"/>
        <v>40</v>
      </c>
      <c r="B45" s="651" t="str">
        <f ca="1">IF(A45&gt;'Additional Input'!$E$11,"",IF('Additional Input'!$N$9="","",'Additional Input'!$N$9+Projections!A45)&amp;"/"&amp;IF('Additional Input'!$O$9="","",IF('Additional Input'!$O$9=0,"",'Additional Input'!$O$9+Projections!A45)))</f>
        <v/>
      </c>
      <c r="C45" s="650" t="str">
        <f ca="1">IF(A45&gt;'Additional Input'!$E$11,"",+C44+1)</f>
        <v/>
      </c>
      <c r="D45" s="652" t="str">
        <f ca="1">IF(A45&gt;'Additional Input'!$E$11,"",($D44*(1+'Additional Input'!$F$26))+$N44+$Q44+$R44+$S44+VLOOKUP(A44,Gifts,6)-VLOOKUP(A45,Gifts,6))</f>
        <v/>
      </c>
      <c r="E45" s="653" t="str">
        <f ca="1">IF(A45&gt;'Additional Input'!$E$11,"",E44*(1+'Additional Input'!$F$28))</f>
        <v/>
      </c>
      <c r="F45" s="653" t="str">
        <f ca="1">IF(A45&gt;'Additional Input'!$E$11,"",($F44*(1+'Additional Input'!$F$27))-$Q44+IF(('Additional Input'!$K$40)&gt;A44,'Additional Input'!$D$40*(1+IF('Additional Input'!$H$40=TRUE,'Additional Input'!$D$13,0))^A44,0)+IF(('Additional Input'!$K$40)&gt;A44,'Additional Input'!$F$40*(1+IF('Additional Input'!$H$40=TRUE,'Additional Input'!$D$13,0))^A44,0))</f>
        <v/>
      </c>
      <c r="G45" s="853" t="str">
        <f ca="1">IF(A45&gt;'Additional Input'!$E$11,"",-VLOOKUP(A45*12,Amortization,2))</f>
        <v/>
      </c>
      <c r="H45" s="652" t="str">
        <f ca="1">IF(A45&gt;'Additional Input'!$E$11,"",IF(A45&lt;=Calculator!$F$7,Calculator!$D$7,0)+Calculator!$D$8-IF(A45&gt;3,Calculator!$H$8,0))</f>
        <v/>
      </c>
      <c r="I45" s="652" t="str">
        <f ca="1">IF(A45&gt;'Additional Input'!$E$11,"",D45+E45+F45+G45+H45)</f>
        <v/>
      </c>
      <c r="J45" s="649" t="str">
        <f ca="1">IF(A45&gt;'Additional Input'!$E$11,"",VLOOKUP(A45,Gifts,9))</f>
        <v/>
      </c>
      <c r="K45" s="652" t="str">
        <f ca="1">IF(A45&gt;'Additional Input'!$E$11,"",IF(Calculator!$D$20=TRUE,Calculator!$I$20,0)+IF(A45&gt;3,Calculator!$H$8,0))</f>
        <v/>
      </c>
      <c r="L45" s="652" t="str">
        <f ca="1">IF(A45&gt;'Additional Input'!$E$11,"",J45+K45)</f>
        <v/>
      </c>
      <c r="M45" s="654" t="str">
        <f ca="1">IF(A45&gt;'Additional Input'!$E$11,"",(D45*'Additional Input'!$F$26)+(E45*'Additional Input'!$F$28)+(F45*'Additional Input'!$F$27))</f>
        <v/>
      </c>
      <c r="N45" s="655" t="str">
        <f ca="1">IF(A45&gt;'Additional Input'!$E$11,"",IF(('Additional Input'!$K$35)&gt;Projections!A45,'Additional Input'!$D$35*(1+IF('Additional Input'!$H$35=TRUE,'Additional Input'!$D$13,0))^Projections!A45,0)+IF(('Additional Input'!$K$36)&gt;Projections!A45,'Additional Input'!$D$36*(1+IF('Additional Input'!$H$36=TRUE,'Additional Input'!$D$13,0))^Projections!A45,0)-IF(('Additional Input'!$K$40)&gt;A45,'Additional Input'!$D$40*(1+IF('Additional Input'!$H$39=TRUE,'Additional Input'!$D$13,0))^A45,0)+IF(('Additional Input'!$F$37-'Additional Input'!$N$9)&lt;=Projections!A45,'Additional Input'!$D$37*(1+IF('Additional Input'!$H$37=TRUE,'Additional Input'!$D$13,0))^IF('Additional Input'!$K$37=TRUE,Projections!A45,Projections!A45-('Additional Input'!$F$37-'Additional Input'!$N$9)),0)+Adjustments!C45)</f>
        <v/>
      </c>
      <c r="O45" s="824" t="str">
        <f ca="1">IF(A45&gt;'Additional Input'!$E$11,"",IF(('Additional Input'!$N$9+Projections!$A45)&gt;=IF('Additional Input'!$K$44=TRUE,71,70),VLOOKUP(('Additional Input'!$N$9+Projections!$A45),UniformTable,2),0))</f>
        <v/>
      </c>
      <c r="P45" s="825" t="str">
        <f ca="1">IF(A45&gt;'Additional Input'!$E$11,"",IF($O45=0,0,$F45/$O45))</f>
        <v/>
      </c>
      <c r="Q45" s="655" t="str">
        <f ca="1">IF(A45&gt;'Additional Input'!$E$11,"",IF(IF('Additional Input'!$D$44=TRUE,IF($O45=0,0,$F45/$O45),IF('Additional Input'!$F$45-'Additional Input'!$N$9&lt;=Projections!$A45,IF($F45*(1+$F$4)&lt;'Additional Input'!$D$45*IF('Additional Input'!$H$45=TRUE,(1+'Additional Input'!$D$13)^IF('Additional Input'!$K$45=TRUE,$A45,$A45-('Additional Input'!$F$45-'Additional Input'!$N$9)),1),$F45*(1+$F$4),'Additional Input'!$D$45*IF('Additional Input'!$H$45=TRUE,(1+'Additional Input'!$D$13)^IF('Additional Input'!$K$45=TRUE,$A45,$A45-('Additional Input'!$F$45-'Additional Input'!$N$9)),1)),0))&lt;$P45,$P45,IF('Additional Input'!$D$44=TRUE,IF($O45=0,0,$F45/$O45),IF('Additional Input'!$F$45-'Additional Input'!$N$9&lt;=Projections!$A45,IF($F45*(1+$F$4)&lt;'Additional Input'!$D$45*IF('Additional Input'!$H$45=TRUE,(1+'Additional Input'!$D$13)^IF('Additional Input'!$K$45=TRUE,$A45,$A45-('Additional Input'!$F$45-'Additional Input'!$N$9)),1),$F45*(1+$F$4),'Additional Input'!$D$45*IF('Additional Input'!$H$45=TRUE,(1+'Additional Input'!$D$13)^IF('Additional Input'!$K$45=TRUE,$A45,$A45-('Additional Input'!$F$45-'Additional Input'!$N$9)),1)),0)))+Adjustments!D45)</f>
        <v/>
      </c>
      <c r="R45" s="656" t="str">
        <f ca="1">IF(A45&gt;'Additional Input'!$E$11,"",-((N45+Q45)*'Additional Input'!$D$12)+Adjustments!E45)</f>
        <v/>
      </c>
      <c r="S45" s="656" t="str">
        <f ca="1">IF(A45&gt;'Additional Input'!$E$11,"",IF($A45&gt;='Additional Input'!$D$19,-'Additional Input'!$D$18*(1+IF('Additional Input'!$F$18=TRUE,'Additional Input'!$D$13,0))^Projections!A45,0)-TaxTables!D71+Adjustments!F45-VLOOKUP(A45,Gifts,6))</f>
        <v/>
      </c>
      <c r="T45" s="654" t="str">
        <f ca="1">IF(A45&gt;'Additional Input'!$E$11,"",N45+Q45+R45+S45)</f>
        <v/>
      </c>
      <c r="U45" s="637"/>
    </row>
    <row r="46" spans="1:21" ht="14.25" customHeight="1">
      <c r="A46" s="122">
        <f t="shared" si="0"/>
        <v>41</v>
      </c>
      <c r="B46" s="110" t="str">
        <f ca="1">IF(A46&gt;'Additional Input'!$E$11,"",IF('Additional Input'!$N$9="","",'Additional Input'!$N$9+Projections!A46)&amp;"/"&amp;IF('Additional Input'!$O$9="","",IF('Additional Input'!$O$9=0,"",'Additional Input'!$O$9+Projections!A46)))</f>
        <v/>
      </c>
      <c r="C46" s="122" t="str">
        <f ca="1">IF(A46&gt;'Additional Input'!$E$11,"",+C45+1)</f>
        <v/>
      </c>
      <c r="D46" s="159" t="str">
        <f ca="1">IF(A46&gt;'Additional Input'!$E$11,"",($D45*(1+'Additional Input'!$F$26))+$N45+$Q45+$R45+$S45+VLOOKUP(A45,Gifts,6)-VLOOKUP(A46,Gifts,6))</f>
        <v/>
      </c>
      <c r="E46" s="159" t="str">
        <f ca="1">IF(A46&gt;'Additional Input'!$E$11,"",E45*(1+'Additional Input'!$F$28))</f>
        <v/>
      </c>
      <c r="F46" s="159" t="str">
        <f ca="1">IF(A46&gt;'Additional Input'!$E$11,"",($F45*(1+'Additional Input'!$F$27))-$Q45+IF(('Additional Input'!$K$40)&gt;A45,'Additional Input'!$D$40*(1+IF('Additional Input'!$H$40=TRUE,'Additional Input'!$D$13,0))^A45,0)+IF(('Additional Input'!$K$40)&gt;A45,'Additional Input'!$F$40*(1+IF('Additional Input'!$H$40=TRUE,'Additional Input'!$D$13,0))^A45,0))</f>
        <v/>
      </c>
      <c r="G46" s="646" t="str">
        <f ca="1">IF(A46&gt;'Additional Input'!$E$11,"",-VLOOKUP(A46*12,Amortization,2))</f>
        <v/>
      </c>
      <c r="H46" s="159" t="str">
        <f ca="1">IF(A46&gt;'Additional Input'!$E$11,"",IF(A46&lt;=Calculator!$F$7,Calculator!$D$7,0)+Calculator!$D$8-IF(A46&gt;3,Calculator!$H$8,0))</f>
        <v/>
      </c>
      <c r="I46" s="159" t="str">
        <f ca="1">IF(A46&gt;'Additional Input'!$E$11,"",D46+E46+F46+G46+H46)</f>
        <v/>
      </c>
      <c r="J46" s="646" t="str">
        <f ca="1">IF(A46&gt;'Additional Input'!$E$11,"",VLOOKUP(A46,Gifts,9))</f>
        <v/>
      </c>
      <c r="K46" s="159" t="str">
        <f ca="1">IF(A46&gt;'Additional Input'!$E$11,"",IF(Calculator!$D$20=TRUE,Calculator!$I$20,0)+IF(A46&gt;3,Calculator!$H$8,0))</f>
        <v/>
      </c>
      <c r="L46" s="159" t="str">
        <f ca="1">IF(A46&gt;'Additional Input'!$E$11,"",J46+K46)</f>
        <v/>
      </c>
      <c r="M46" s="126" t="str">
        <f ca="1">IF(A46&gt;'Additional Input'!$E$11,"",(D46*'Additional Input'!$F$26)+(E46*'Additional Input'!$F$28)+(F46*'Additional Input'!$F$27))</f>
        <v/>
      </c>
      <c r="N46" s="126" t="str">
        <f ca="1">IF(A46&gt;'Additional Input'!$E$11,"",IF(('Additional Input'!$K$35)&gt;Projections!A46,'Additional Input'!$D$35*(1+IF('Additional Input'!$H$35=TRUE,'Additional Input'!$D$13,0))^Projections!A46,0)+IF(('Additional Input'!$K$36)&gt;Projections!A46,'Additional Input'!$D$36*(1+IF('Additional Input'!$H$36=TRUE,'Additional Input'!$D$13,0))^Projections!A46,0)-IF(('Additional Input'!$K$40)&gt;A46,'Additional Input'!$D$40*(1+IF('Additional Input'!$H$39=TRUE,'Additional Input'!$D$13,0))^A46,0)+IF(('Additional Input'!$F$37-'Additional Input'!$N$9)&lt;=Projections!A46,'Additional Input'!$D$37*(1+IF('Additional Input'!$H$37=TRUE,'Additional Input'!$D$13,0))^IF('Additional Input'!$K$37=TRUE,Projections!A46,Projections!A46-('Additional Input'!$F$37-'Additional Input'!$N$9)),0)+Adjustments!C46)</f>
        <v/>
      </c>
      <c r="O46" s="823" t="str">
        <f ca="1">IF(A46&gt;'Additional Input'!$E$11,"",IF(('Additional Input'!$N$9+Projections!$A46)&gt;=IF('Additional Input'!$K$44=TRUE,71,70),VLOOKUP(('Additional Input'!$N$9+Projections!$A46),UniformTable,2),0))</f>
        <v/>
      </c>
      <c r="P46" s="822" t="str">
        <f ca="1">IF(A46&gt;'Additional Input'!$E$11,"",IF($O46=0,0,$F46/$O46))</f>
        <v/>
      </c>
      <c r="Q46" s="178" t="str">
        <f ca="1">IF(A46&gt;'Additional Input'!$E$11,"",IF(IF('Additional Input'!$D$44=TRUE,IF($O46=0,0,$F46/$O46),IF('Additional Input'!$F$45-'Additional Input'!$N$9&lt;=Projections!$A46,IF($F46*(1+$F$4)&lt;'Additional Input'!$D$45*IF('Additional Input'!$H$45=TRUE,(1+'Additional Input'!$D$13)^IF('Additional Input'!$K$45=TRUE,$A46,$A46-('Additional Input'!$F$45-'Additional Input'!$N$9)),1),$F46*(1+$F$4),'Additional Input'!$D$45*IF('Additional Input'!$H$45=TRUE,(1+'Additional Input'!$D$13)^IF('Additional Input'!$K$45=TRUE,$A46,$A46-('Additional Input'!$F$45-'Additional Input'!$N$9)),1)),0))&lt;$P46,$P46,IF('Additional Input'!$D$44=TRUE,IF($O46=0,0,$F46/$O46),IF('Additional Input'!$F$45-'Additional Input'!$N$9&lt;=Projections!$A46,IF($F46*(1+$F$4)&lt;'Additional Input'!$D$45*IF('Additional Input'!$H$45=TRUE,(1+'Additional Input'!$D$13)^IF('Additional Input'!$K$45=TRUE,$A46,$A46-('Additional Input'!$F$45-'Additional Input'!$N$9)),1),$F46*(1+$F$4),'Additional Input'!$D$45*IF('Additional Input'!$H$45=TRUE,(1+'Additional Input'!$D$13)^IF('Additional Input'!$K$45=TRUE,$A46,$A46-('Additional Input'!$F$45-'Additional Input'!$N$9)),1)),0)))+Adjustments!D46)</f>
        <v/>
      </c>
      <c r="R46" s="571" t="str">
        <f ca="1">IF(A46&gt;'Additional Input'!$E$11,"",-((N46+Q46)*'Additional Input'!$D$12)+Adjustments!E46)</f>
        <v/>
      </c>
      <c r="S46" s="571" t="str">
        <f ca="1">IF(A46&gt;'Additional Input'!$E$11,"",IF($A46&gt;='Additional Input'!$D$19,-'Additional Input'!$D$18*(1+IF('Additional Input'!$F$18=TRUE,'Additional Input'!$D$13,0))^Projections!A46,0)-TaxTables!D72+Adjustments!F46-VLOOKUP(A46,Gifts,6))</f>
        <v/>
      </c>
      <c r="T46" s="126" t="str">
        <f ca="1">IF(A46&gt;'Additional Input'!$E$11,"",N46+Q46+R46+S46)</f>
        <v/>
      </c>
      <c r="U46" s="367"/>
    </row>
    <row r="47" spans="1:21" ht="14.25" customHeight="1">
      <c r="A47" s="122">
        <f t="shared" si="0"/>
        <v>42</v>
      </c>
      <c r="B47" s="110" t="str">
        <f ca="1">IF(A47&gt;'Additional Input'!$E$11,"",IF('Additional Input'!$N$9="","",'Additional Input'!$N$9+Projections!A47)&amp;"/"&amp;IF('Additional Input'!$O$9="","",IF('Additional Input'!$O$9=0,"",'Additional Input'!$O$9+Projections!A47)))</f>
        <v/>
      </c>
      <c r="C47" s="122" t="str">
        <f ca="1">IF(A47&gt;'Additional Input'!$E$11,"",+C46+1)</f>
        <v/>
      </c>
      <c r="D47" s="159" t="str">
        <f ca="1">IF(A47&gt;'Additional Input'!$E$11,"",($D46*(1+'Additional Input'!$F$26))+$N46+$Q46+$R46+$S46+VLOOKUP(A46,Gifts,6)-VLOOKUP(A47,Gifts,6))</f>
        <v/>
      </c>
      <c r="E47" s="159" t="str">
        <f ca="1">IF(A47&gt;'Additional Input'!$E$11,"",E46*(1+'Additional Input'!$F$28))</f>
        <v/>
      </c>
      <c r="F47" s="159" t="str">
        <f ca="1">IF(A47&gt;'Additional Input'!$E$11,"",($F46*(1+'Additional Input'!$F$27))-$Q46+IF(('Additional Input'!$K$40)&gt;A46,'Additional Input'!$D$40*(1+IF('Additional Input'!$H$40=TRUE,'Additional Input'!$D$13,0))^A46,0)+IF(('Additional Input'!$K$40)&gt;A46,'Additional Input'!$F$40*(1+IF('Additional Input'!$H$40=TRUE,'Additional Input'!$D$13,0))^A46,0))</f>
        <v/>
      </c>
      <c r="G47" s="646" t="str">
        <f ca="1">IF(A47&gt;'Additional Input'!$E$11,"",-VLOOKUP(A47*12,Amortization,2))</f>
        <v/>
      </c>
      <c r="H47" s="159" t="str">
        <f ca="1">IF(A47&gt;'Additional Input'!$E$11,"",IF(A47&lt;=Calculator!$F$7,Calculator!$D$7,0)+Calculator!$D$8-IF(A47&gt;3,Calculator!$H$8,0))</f>
        <v/>
      </c>
      <c r="I47" s="159" t="str">
        <f ca="1">IF(A47&gt;'Additional Input'!$E$11,"",D47+E47+F47+G47+H47)</f>
        <v/>
      </c>
      <c r="J47" s="646" t="str">
        <f ca="1">IF(A47&gt;'Additional Input'!$E$11,"",VLOOKUP(A47,Gifts,9))</f>
        <v/>
      </c>
      <c r="K47" s="159" t="str">
        <f ca="1">IF(A47&gt;'Additional Input'!$E$11,"",IF(Calculator!$D$20=TRUE,Calculator!$I$20,0)+IF(A47&gt;3,Calculator!$H$8,0))</f>
        <v/>
      </c>
      <c r="L47" s="159" t="str">
        <f ca="1">IF(A47&gt;'Additional Input'!$E$11,"",J47+K47)</f>
        <v/>
      </c>
      <c r="M47" s="126" t="str">
        <f ca="1">IF(A47&gt;'Additional Input'!$E$11,"",(D47*'Additional Input'!$F$26)+(E47*'Additional Input'!$F$28)+(F47*'Additional Input'!$F$27))</f>
        <v/>
      </c>
      <c r="N47" s="126" t="str">
        <f ca="1">IF(A47&gt;'Additional Input'!$E$11,"",IF(('Additional Input'!$K$35)&gt;Projections!A47,'Additional Input'!$D$35*(1+IF('Additional Input'!$H$35=TRUE,'Additional Input'!$D$13,0))^Projections!A47,0)+IF(('Additional Input'!$K$36)&gt;Projections!A47,'Additional Input'!$D$36*(1+IF('Additional Input'!$H$36=TRUE,'Additional Input'!$D$13,0))^Projections!A47,0)-IF(('Additional Input'!$K$40)&gt;A47,'Additional Input'!$D$40*(1+IF('Additional Input'!$H$39=TRUE,'Additional Input'!$D$13,0))^A47,0)+IF(('Additional Input'!$F$37-'Additional Input'!$N$9)&lt;=Projections!A47,'Additional Input'!$D$37*(1+IF('Additional Input'!$H$37=TRUE,'Additional Input'!$D$13,0))^IF('Additional Input'!$K$37=TRUE,Projections!A47,Projections!A47-('Additional Input'!$F$37-'Additional Input'!$N$9)),0)+Adjustments!C47)</f>
        <v/>
      </c>
      <c r="O47" s="823" t="str">
        <f ca="1">IF(A47&gt;'Additional Input'!$E$11,"",IF(('Additional Input'!$N$9+Projections!$A47)&gt;=IF('Additional Input'!$K$44=TRUE,71,70),VLOOKUP(('Additional Input'!$N$9+Projections!$A47),UniformTable,2),0))</f>
        <v/>
      </c>
      <c r="P47" s="822" t="str">
        <f ca="1">IF(A47&gt;'Additional Input'!$E$11,"",IF($O47=0,0,$F47/$O47))</f>
        <v/>
      </c>
      <c r="Q47" s="178" t="str">
        <f ca="1">IF(A47&gt;'Additional Input'!$E$11,"",IF(IF('Additional Input'!$D$44=TRUE,IF($O47=0,0,$F47/$O47),IF('Additional Input'!$F$45-'Additional Input'!$N$9&lt;=Projections!$A47,IF($F47*(1+$F$4)&lt;'Additional Input'!$D$45*IF('Additional Input'!$H$45=TRUE,(1+'Additional Input'!$D$13)^IF('Additional Input'!$K$45=TRUE,$A47,$A47-('Additional Input'!$F$45-'Additional Input'!$N$9)),1),$F47*(1+$F$4),'Additional Input'!$D$45*IF('Additional Input'!$H$45=TRUE,(1+'Additional Input'!$D$13)^IF('Additional Input'!$K$45=TRUE,$A47,$A47-('Additional Input'!$F$45-'Additional Input'!$N$9)),1)),0))&lt;$P47,$P47,IF('Additional Input'!$D$44=TRUE,IF($O47=0,0,$F47/$O47),IF('Additional Input'!$F$45-'Additional Input'!$N$9&lt;=Projections!$A47,IF($F47*(1+$F$4)&lt;'Additional Input'!$D$45*IF('Additional Input'!$H$45=TRUE,(1+'Additional Input'!$D$13)^IF('Additional Input'!$K$45=TRUE,$A47,$A47-('Additional Input'!$F$45-'Additional Input'!$N$9)),1),$F47*(1+$F$4),'Additional Input'!$D$45*IF('Additional Input'!$H$45=TRUE,(1+'Additional Input'!$D$13)^IF('Additional Input'!$K$45=TRUE,$A47,$A47-('Additional Input'!$F$45-'Additional Input'!$N$9)),1)),0)))+Adjustments!D47)</f>
        <v/>
      </c>
      <c r="R47" s="571" t="str">
        <f ca="1">IF(A47&gt;'Additional Input'!$E$11,"",-((N47+Q47)*'Additional Input'!$D$12)+Adjustments!E47)</f>
        <v/>
      </c>
      <c r="S47" s="571" t="str">
        <f ca="1">IF(A47&gt;'Additional Input'!$E$11,"",IF($A47&gt;='Additional Input'!$D$19,-'Additional Input'!$D$18*(1+IF('Additional Input'!$F$18=TRUE,'Additional Input'!$D$13,0))^Projections!A47,0)-TaxTables!D73+Adjustments!F47-VLOOKUP(A47,Gifts,6))</f>
        <v/>
      </c>
      <c r="T47" s="126" t="str">
        <f ca="1">IF(A47&gt;'Additional Input'!$E$11,"",N47+Q47+R47+S47)</f>
        <v/>
      </c>
      <c r="U47" s="367"/>
    </row>
    <row r="48" spans="1:21" ht="14.25" customHeight="1">
      <c r="A48" s="122">
        <f t="shared" si="0"/>
        <v>43</v>
      </c>
      <c r="B48" s="110" t="str">
        <f ca="1">IF(A48&gt;'Additional Input'!$E$11,"",IF('Additional Input'!$N$9="","",'Additional Input'!$N$9+Projections!A48)&amp;"/"&amp;IF('Additional Input'!$O$9="","",IF('Additional Input'!$O$9=0,"",'Additional Input'!$O$9+Projections!A48)))</f>
        <v/>
      </c>
      <c r="C48" s="122" t="str">
        <f ca="1">IF(A48&gt;'Additional Input'!$E$11,"",+C47+1)</f>
        <v/>
      </c>
      <c r="D48" s="159" t="str">
        <f ca="1">IF(A48&gt;'Additional Input'!$E$11,"",($D47*(1+'Additional Input'!$F$26))+$N47+$Q47+$R47+$S47+VLOOKUP(A47,Gifts,6)-VLOOKUP(A48,Gifts,6))</f>
        <v/>
      </c>
      <c r="E48" s="159" t="str">
        <f ca="1">IF(A48&gt;'Additional Input'!$E$11,"",E47*(1+'Additional Input'!$F$28))</f>
        <v/>
      </c>
      <c r="F48" s="159" t="str">
        <f ca="1">IF(A48&gt;'Additional Input'!$E$11,"",($F47*(1+'Additional Input'!$F$27))-$Q47+IF(('Additional Input'!$K$40)&gt;A47,'Additional Input'!$D$40*(1+IF('Additional Input'!$H$40=TRUE,'Additional Input'!$D$13,0))^A47,0)+IF(('Additional Input'!$K$40)&gt;A47,'Additional Input'!$F$40*(1+IF('Additional Input'!$H$40=TRUE,'Additional Input'!$D$13,0))^A47,0))</f>
        <v/>
      </c>
      <c r="G48" s="646" t="str">
        <f ca="1">IF(A48&gt;'Additional Input'!$E$11,"",-VLOOKUP(A48*12,Amortization,2))</f>
        <v/>
      </c>
      <c r="H48" s="159" t="str">
        <f ca="1">IF(A48&gt;'Additional Input'!$E$11,"",IF(A48&lt;=Calculator!$F$7,Calculator!$D$7,0)+Calculator!$D$8-IF(A48&gt;3,Calculator!$H$8,0))</f>
        <v/>
      </c>
      <c r="I48" s="159" t="str">
        <f ca="1">IF(A48&gt;'Additional Input'!$E$11,"",D48+E48+F48+G48+H48)</f>
        <v/>
      </c>
      <c r="J48" s="646" t="str">
        <f ca="1">IF(A48&gt;'Additional Input'!$E$11,"",VLOOKUP(A48,Gifts,9))</f>
        <v/>
      </c>
      <c r="K48" s="159" t="str">
        <f ca="1">IF(A48&gt;'Additional Input'!$E$11,"",IF(Calculator!$D$20=TRUE,Calculator!$I$20,0)+IF(A48&gt;3,Calculator!$H$8,0))</f>
        <v/>
      </c>
      <c r="L48" s="159" t="str">
        <f ca="1">IF(A48&gt;'Additional Input'!$E$11,"",J48+K48)</f>
        <v/>
      </c>
      <c r="M48" s="126" t="str">
        <f ca="1">IF(A48&gt;'Additional Input'!$E$11,"",(D48*'Additional Input'!$F$26)+(E48*'Additional Input'!$F$28)+(F48*'Additional Input'!$F$27))</f>
        <v/>
      </c>
      <c r="N48" s="126" t="str">
        <f ca="1">IF(A48&gt;'Additional Input'!$E$11,"",IF(('Additional Input'!$K$35)&gt;Projections!A48,'Additional Input'!$D$35*(1+IF('Additional Input'!$H$35=TRUE,'Additional Input'!$D$13,0))^Projections!A48,0)+IF(('Additional Input'!$K$36)&gt;Projections!A48,'Additional Input'!$D$36*(1+IF('Additional Input'!$H$36=TRUE,'Additional Input'!$D$13,0))^Projections!A48,0)-IF(('Additional Input'!$K$40)&gt;A48,'Additional Input'!$D$40*(1+IF('Additional Input'!$H$39=TRUE,'Additional Input'!$D$13,0))^A48,0)+IF(('Additional Input'!$F$37-'Additional Input'!$N$9)&lt;=Projections!A48,'Additional Input'!$D$37*(1+IF('Additional Input'!$H$37=TRUE,'Additional Input'!$D$13,0))^IF('Additional Input'!$K$37=TRUE,Projections!A48,Projections!A48-('Additional Input'!$F$37-'Additional Input'!$N$9)),0)+Adjustments!C48)</f>
        <v/>
      </c>
      <c r="O48" s="823" t="str">
        <f ca="1">IF(A48&gt;'Additional Input'!$E$11,"",IF(('Additional Input'!$N$9+Projections!$A48)&gt;=IF('Additional Input'!$K$44=TRUE,71,70),VLOOKUP(('Additional Input'!$N$9+Projections!$A48),UniformTable,2),0))</f>
        <v/>
      </c>
      <c r="P48" s="822" t="str">
        <f ca="1">IF(A48&gt;'Additional Input'!$E$11,"",IF($O48=0,0,$F48/$O48))</f>
        <v/>
      </c>
      <c r="Q48" s="178" t="str">
        <f ca="1">IF(A48&gt;'Additional Input'!$E$11,"",IF(IF('Additional Input'!$D$44=TRUE,IF($O48=0,0,$F48/$O48),IF('Additional Input'!$F$45-'Additional Input'!$N$9&lt;=Projections!$A48,IF($F48*(1+$F$4)&lt;'Additional Input'!$D$45*IF('Additional Input'!$H$45=TRUE,(1+'Additional Input'!$D$13)^IF('Additional Input'!$K$45=TRUE,$A48,$A48-('Additional Input'!$F$45-'Additional Input'!$N$9)),1),$F48*(1+$F$4),'Additional Input'!$D$45*IF('Additional Input'!$H$45=TRUE,(1+'Additional Input'!$D$13)^IF('Additional Input'!$K$45=TRUE,$A48,$A48-('Additional Input'!$F$45-'Additional Input'!$N$9)),1)),0))&lt;$P48,$P48,IF('Additional Input'!$D$44=TRUE,IF($O48=0,0,$F48/$O48),IF('Additional Input'!$F$45-'Additional Input'!$N$9&lt;=Projections!$A48,IF($F48*(1+$F$4)&lt;'Additional Input'!$D$45*IF('Additional Input'!$H$45=TRUE,(1+'Additional Input'!$D$13)^IF('Additional Input'!$K$45=TRUE,$A48,$A48-('Additional Input'!$F$45-'Additional Input'!$N$9)),1),$F48*(1+$F$4),'Additional Input'!$D$45*IF('Additional Input'!$H$45=TRUE,(1+'Additional Input'!$D$13)^IF('Additional Input'!$K$45=TRUE,$A48,$A48-('Additional Input'!$F$45-'Additional Input'!$N$9)),1)),0)))+Adjustments!D48)</f>
        <v/>
      </c>
      <c r="R48" s="571" t="str">
        <f ca="1">IF(A48&gt;'Additional Input'!$E$11,"",-((N48+Q48)*'Additional Input'!$D$12)+Adjustments!E48)</f>
        <v/>
      </c>
      <c r="S48" s="571" t="str">
        <f ca="1">IF(A48&gt;'Additional Input'!$E$11,"",IF($A48&gt;='Additional Input'!$D$19,-'Additional Input'!$D$18*(1+IF('Additional Input'!$F$18=TRUE,'Additional Input'!$D$13,0))^Projections!A48,0)-TaxTables!D74+Adjustments!F48-VLOOKUP(A48,Gifts,6))</f>
        <v/>
      </c>
      <c r="T48" s="126" t="str">
        <f ca="1">IF(A48&gt;'Additional Input'!$E$11,"",N48+Q48+R48+S48)</f>
        <v/>
      </c>
      <c r="U48" s="367"/>
    </row>
    <row r="49" spans="1:21" ht="14.25" customHeight="1">
      <c r="A49" s="122">
        <f t="shared" si="0"/>
        <v>44</v>
      </c>
      <c r="B49" s="110" t="str">
        <f ca="1">IF(A49&gt;'Additional Input'!$E$11,"",IF('Additional Input'!$N$9="","",'Additional Input'!$N$9+Projections!A49)&amp;"/"&amp;IF('Additional Input'!$O$9="","",IF('Additional Input'!$O$9=0,"",'Additional Input'!$O$9+Projections!A49)))</f>
        <v/>
      </c>
      <c r="C49" s="122" t="str">
        <f ca="1">IF(A49&gt;'Additional Input'!$E$11,"",+C48+1)</f>
        <v/>
      </c>
      <c r="D49" s="159" t="str">
        <f ca="1">IF(A49&gt;'Additional Input'!$E$11,"",($D48*(1+'Additional Input'!$F$26))+$N48+$Q48+$R48+$S48+VLOOKUP(A48,Gifts,6)-VLOOKUP(A49,Gifts,6))</f>
        <v/>
      </c>
      <c r="E49" s="159" t="str">
        <f ca="1">IF(A49&gt;'Additional Input'!$E$11,"",E48*(1+'Additional Input'!$F$28))</f>
        <v/>
      </c>
      <c r="F49" s="159" t="str">
        <f ca="1">IF(A49&gt;'Additional Input'!$E$11,"",($F48*(1+'Additional Input'!$F$27))-$Q48+IF(('Additional Input'!$K$40)&gt;A48,'Additional Input'!$D$40*(1+IF('Additional Input'!$H$40=TRUE,'Additional Input'!$D$13,0))^A48,0)+IF(('Additional Input'!$K$40)&gt;A48,'Additional Input'!$F$40*(1+IF('Additional Input'!$H$40=TRUE,'Additional Input'!$D$13,0))^A48,0))</f>
        <v/>
      </c>
      <c r="G49" s="646" t="str">
        <f ca="1">IF(A49&gt;'Additional Input'!$E$11,"",-VLOOKUP(A49*12,Amortization,2))</f>
        <v/>
      </c>
      <c r="H49" s="159" t="str">
        <f ca="1">IF(A49&gt;'Additional Input'!$E$11,"",IF(A49&lt;=Calculator!$F$7,Calculator!$D$7,0)+Calculator!$D$8-IF(A49&gt;3,Calculator!$H$8,0))</f>
        <v/>
      </c>
      <c r="I49" s="159" t="str">
        <f ca="1">IF(A49&gt;'Additional Input'!$E$11,"",D49+E49+F49+G49+H49)</f>
        <v/>
      </c>
      <c r="J49" s="646" t="str">
        <f ca="1">IF(A49&gt;'Additional Input'!$E$11,"",VLOOKUP(A49,Gifts,9))</f>
        <v/>
      </c>
      <c r="K49" s="159" t="str">
        <f ca="1">IF(A49&gt;'Additional Input'!$E$11,"",IF(Calculator!$D$20=TRUE,Calculator!$I$20,0)+IF(A49&gt;3,Calculator!$H$8,0))</f>
        <v/>
      </c>
      <c r="L49" s="159" t="str">
        <f ca="1">IF(A49&gt;'Additional Input'!$E$11,"",J49+K49)</f>
        <v/>
      </c>
      <c r="M49" s="126" t="str">
        <f ca="1">IF(A49&gt;'Additional Input'!$E$11,"",(D49*'Additional Input'!$F$26)+(E49*'Additional Input'!$F$28)+(F49*'Additional Input'!$F$27))</f>
        <v/>
      </c>
      <c r="N49" s="126" t="str">
        <f ca="1">IF(A49&gt;'Additional Input'!$E$11,"",IF(('Additional Input'!$K$35)&gt;Projections!A49,'Additional Input'!$D$35*(1+IF('Additional Input'!$H$35=TRUE,'Additional Input'!$D$13,0))^Projections!A49,0)+IF(('Additional Input'!$K$36)&gt;Projections!A49,'Additional Input'!$D$36*(1+IF('Additional Input'!$H$36=TRUE,'Additional Input'!$D$13,0))^Projections!A49,0)-IF(('Additional Input'!$K$40)&gt;A49,'Additional Input'!$D$40*(1+IF('Additional Input'!$H$39=TRUE,'Additional Input'!$D$13,0))^A49,0)+IF(('Additional Input'!$F$37-'Additional Input'!$N$9)&lt;=Projections!A49,'Additional Input'!$D$37*(1+IF('Additional Input'!$H$37=TRUE,'Additional Input'!$D$13,0))^IF('Additional Input'!$K$37=TRUE,Projections!A49,Projections!A49-('Additional Input'!$F$37-'Additional Input'!$N$9)),0)+Adjustments!C49)</f>
        <v/>
      </c>
      <c r="O49" s="823" t="str">
        <f ca="1">IF(A49&gt;'Additional Input'!$E$11,"",IF(('Additional Input'!$N$9+Projections!$A49)&gt;=IF('Additional Input'!$K$44=TRUE,71,70),VLOOKUP(('Additional Input'!$N$9+Projections!$A49),UniformTable,2),0))</f>
        <v/>
      </c>
      <c r="P49" s="822" t="str">
        <f ca="1">IF(A49&gt;'Additional Input'!$E$11,"",IF($O49=0,0,$F49/$O49))</f>
        <v/>
      </c>
      <c r="Q49" s="178" t="str">
        <f ca="1">IF(A49&gt;'Additional Input'!$E$11,"",IF(IF('Additional Input'!$D$44=TRUE,IF($O49=0,0,$F49/$O49),IF('Additional Input'!$F$45-'Additional Input'!$N$9&lt;=Projections!$A49,IF($F49*(1+$F$4)&lt;'Additional Input'!$D$45*IF('Additional Input'!$H$45=TRUE,(1+'Additional Input'!$D$13)^IF('Additional Input'!$K$45=TRUE,$A49,$A49-('Additional Input'!$F$45-'Additional Input'!$N$9)),1),$F49*(1+$F$4),'Additional Input'!$D$45*IF('Additional Input'!$H$45=TRUE,(1+'Additional Input'!$D$13)^IF('Additional Input'!$K$45=TRUE,$A49,$A49-('Additional Input'!$F$45-'Additional Input'!$N$9)),1)),0))&lt;$P49,$P49,IF('Additional Input'!$D$44=TRUE,IF($O49=0,0,$F49/$O49),IF('Additional Input'!$F$45-'Additional Input'!$N$9&lt;=Projections!$A49,IF($F49*(1+$F$4)&lt;'Additional Input'!$D$45*IF('Additional Input'!$H$45=TRUE,(1+'Additional Input'!$D$13)^IF('Additional Input'!$K$45=TRUE,$A49,$A49-('Additional Input'!$F$45-'Additional Input'!$N$9)),1),$F49*(1+$F$4),'Additional Input'!$D$45*IF('Additional Input'!$H$45=TRUE,(1+'Additional Input'!$D$13)^IF('Additional Input'!$K$45=TRUE,$A49,$A49-('Additional Input'!$F$45-'Additional Input'!$N$9)),1)),0)))+Adjustments!D49)</f>
        <v/>
      </c>
      <c r="R49" s="571" t="str">
        <f ca="1">IF(A49&gt;'Additional Input'!$E$11,"",-((N49+Q49)*'Additional Input'!$D$12)+Adjustments!E49)</f>
        <v/>
      </c>
      <c r="S49" s="571" t="str">
        <f ca="1">IF(A49&gt;'Additional Input'!$E$11,"",IF($A49&gt;='Additional Input'!$D$19,-'Additional Input'!$D$18*(1+IF('Additional Input'!$F$18=TRUE,'Additional Input'!$D$13,0))^Projections!A49,0)-TaxTables!D75+Adjustments!F49-VLOOKUP(A49,Gifts,6))</f>
        <v/>
      </c>
      <c r="T49" s="126" t="str">
        <f ca="1">IF(A49&gt;'Additional Input'!$E$11,"",N49+Q49+R49+S49)</f>
        <v/>
      </c>
      <c r="U49" s="367"/>
    </row>
    <row r="50" spans="1:21" s="119" customFormat="1" ht="14.25" customHeight="1">
      <c r="A50" s="650">
        <f t="shared" si="0"/>
        <v>45</v>
      </c>
      <c r="B50" s="651" t="str">
        <f ca="1">IF(A50&gt;'Additional Input'!$E$11,"",IF('Additional Input'!$N$9="","",'Additional Input'!$N$9+Projections!A50)&amp;"/"&amp;IF('Additional Input'!$O$9="","",IF('Additional Input'!$O$9=0,"",'Additional Input'!$O$9+Projections!A50)))</f>
        <v/>
      </c>
      <c r="C50" s="650" t="str">
        <f ca="1">IF(A50&gt;'Additional Input'!$E$11,"",+C49+1)</f>
        <v/>
      </c>
      <c r="D50" s="652" t="str">
        <f ca="1">IF(A50&gt;'Additional Input'!$E$11,"",($D49*(1+'Additional Input'!$F$26))+$N49+$Q49+$R49+$S49+VLOOKUP(A49,Gifts,6)-VLOOKUP(A50,Gifts,6))</f>
        <v/>
      </c>
      <c r="E50" s="653" t="str">
        <f ca="1">IF(A50&gt;'Additional Input'!$E$11,"",E49*(1+'Additional Input'!$F$28))</f>
        <v/>
      </c>
      <c r="F50" s="653" t="str">
        <f ca="1">IF(A50&gt;'Additional Input'!$E$11,"",($F49*(1+'Additional Input'!$F$27))-$Q49+IF(('Additional Input'!$K$40)&gt;A49,'Additional Input'!$D$40*(1+IF('Additional Input'!$H$40=TRUE,'Additional Input'!$D$13,0))^A49,0)+IF(('Additional Input'!$K$40)&gt;A49,'Additional Input'!$F$40*(1+IF('Additional Input'!$H$40=TRUE,'Additional Input'!$D$13,0))^A49,0))</f>
        <v/>
      </c>
      <c r="G50" s="853" t="str">
        <f ca="1">IF(A50&gt;'Additional Input'!$E$11,"",-VLOOKUP(A50*12,Amortization,2))</f>
        <v/>
      </c>
      <c r="H50" s="652" t="str">
        <f ca="1">IF(A50&gt;'Additional Input'!$E$11,"",IF(A50&lt;=Calculator!$F$7,Calculator!$D$7,0)+Calculator!$D$8-IF(A50&gt;3,Calculator!$H$8,0))</f>
        <v/>
      </c>
      <c r="I50" s="652" t="str">
        <f ca="1">IF(A50&gt;'Additional Input'!$E$11,"",D50+E50+F50+G50+H50)</f>
        <v/>
      </c>
      <c r="J50" s="649" t="str">
        <f ca="1">IF(A50&gt;'Additional Input'!$E$11,"",VLOOKUP(A50,Gifts,9))</f>
        <v/>
      </c>
      <c r="K50" s="652" t="str">
        <f ca="1">IF(A50&gt;'Additional Input'!$E$11,"",IF(Calculator!$D$20=TRUE,Calculator!$I$20,0)+IF(A50&gt;3,Calculator!$H$8,0))</f>
        <v/>
      </c>
      <c r="L50" s="652" t="str">
        <f ca="1">IF(A50&gt;'Additional Input'!$E$11,"",J50+K50)</f>
        <v/>
      </c>
      <c r="M50" s="654" t="str">
        <f ca="1">IF(A50&gt;'Additional Input'!$E$11,"",(D50*'Additional Input'!$F$26)+(E50*'Additional Input'!$F$28)+(F50*'Additional Input'!$F$27))</f>
        <v/>
      </c>
      <c r="N50" s="655" t="str">
        <f ca="1">IF(A50&gt;'Additional Input'!$E$11,"",IF(('Additional Input'!$K$35)&gt;Projections!A50,'Additional Input'!$D$35*(1+IF('Additional Input'!$H$35=TRUE,'Additional Input'!$D$13,0))^Projections!A50,0)+IF(('Additional Input'!$K$36)&gt;Projections!A50,'Additional Input'!$D$36*(1+IF('Additional Input'!$H$36=TRUE,'Additional Input'!$D$13,0))^Projections!A50,0)-IF(('Additional Input'!$K$40)&gt;A50,'Additional Input'!$D$40*(1+IF('Additional Input'!$H$39=TRUE,'Additional Input'!$D$13,0))^A50,0)+IF(('Additional Input'!$F$37-'Additional Input'!$N$9)&lt;=Projections!A50,'Additional Input'!$D$37*(1+IF('Additional Input'!$H$37=TRUE,'Additional Input'!$D$13,0))^IF('Additional Input'!$K$37=TRUE,Projections!A50,Projections!A50-('Additional Input'!$F$37-'Additional Input'!$N$9)),0)+Adjustments!C50)</f>
        <v/>
      </c>
      <c r="O50" s="824" t="str">
        <f ca="1">IF(A50&gt;'Additional Input'!$E$11,"",IF(('Additional Input'!$N$9+Projections!$A50)&gt;=IF('Additional Input'!$K$44=TRUE,71,70),VLOOKUP(('Additional Input'!$N$9+Projections!$A50),UniformTable,2),0))</f>
        <v/>
      </c>
      <c r="P50" s="825" t="str">
        <f ca="1">IF(A50&gt;'Additional Input'!$E$11,"",IF($O50=0,0,$F50/$O50))</f>
        <v/>
      </c>
      <c r="Q50" s="655" t="str">
        <f ca="1">IF(A50&gt;'Additional Input'!$E$11,"",IF(IF('Additional Input'!$D$44=TRUE,IF($O50=0,0,$F50/$O50),IF('Additional Input'!$F$45-'Additional Input'!$N$9&lt;=Projections!$A50,IF($F50*(1+$F$4)&lt;'Additional Input'!$D$45*IF('Additional Input'!$H$45=TRUE,(1+'Additional Input'!$D$13)^IF('Additional Input'!$K$45=TRUE,$A50,$A50-('Additional Input'!$F$45-'Additional Input'!$N$9)),1),$F50*(1+$F$4),'Additional Input'!$D$45*IF('Additional Input'!$H$45=TRUE,(1+'Additional Input'!$D$13)^IF('Additional Input'!$K$45=TRUE,$A50,$A50-('Additional Input'!$F$45-'Additional Input'!$N$9)),1)),0))&lt;$P50,$P50,IF('Additional Input'!$D$44=TRUE,IF($O50=0,0,$F50/$O50),IF('Additional Input'!$F$45-'Additional Input'!$N$9&lt;=Projections!$A50,IF($F50*(1+$F$4)&lt;'Additional Input'!$D$45*IF('Additional Input'!$H$45=TRUE,(1+'Additional Input'!$D$13)^IF('Additional Input'!$K$45=TRUE,$A50,$A50-('Additional Input'!$F$45-'Additional Input'!$N$9)),1),$F50*(1+$F$4),'Additional Input'!$D$45*IF('Additional Input'!$H$45=TRUE,(1+'Additional Input'!$D$13)^IF('Additional Input'!$K$45=TRUE,$A50,$A50-('Additional Input'!$F$45-'Additional Input'!$N$9)),1)),0)))+Adjustments!D50)</f>
        <v/>
      </c>
      <c r="R50" s="656" t="str">
        <f ca="1">IF(A50&gt;'Additional Input'!$E$11,"",-((N50+Q50)*'Additional Input'!$D$12)+Adjustments!E50)</f>
        <v/>
      </c>
      <c r="S50" s="656" t="str">
        <f ca="1">IF(A50&gt;'Additional Input'!$E$11,"",IF($A50&gt;='Additional Input'!$D$19,-'Additional Input'!$D$18*(1+IF('Additional Input'!$F$18=TRUE,'Additional Input'!$D$13,0))^Projections!A50,0)-TaxTables!D76+Adjustments!F50-VLOOKUP(A50,Gifts,6))</f>
        <v/>
      </c>
      <c r="T50" s="654" t="str">
        <f ca="1">IF(A50&gt;'Additional Input'!$E$11,"",N50+Q50+R50+S50)</f>
        <v/>
      </c>
      <c r="U50" s="637"/>
    </row>
    <row r="51" spans="1:21" ht="14.25" hidden="1" customHeight="1">
      <c r="A51" s="122">
        <f t="shared" si="0"/>
        <v>46</v>
      </c>
      <c r="B51" s="110" t="str">
        <f ca="1">IF(A51&gt;'Additional Input'!$E$11,"",IF('Additional Input'!$N$9="","",'Additional Input'!$N$9+Projections!A51)&amp;"/"&amp;IF('Additional Input'!$O$9="","",IF('Additional Input'!$O$9=0,"",'Additional Input'!$O$9+Projections!A51)))</f>
        <v/>
      </c>
      <c r="C51" s="122" t="str">
        <f ca="1">IF(A51&gt;'Additional Input'!$E$11,"",+C50+1)</f>
        <v/>
      </c>
      <c r="D51" s="159" t="str">
        <f ca="1">IF(A51&gt;'Additional Input'!$E$11,"",($D50*(1+'Additional Input'!$F$26))+$N50+$Q50+$R50+$S50+VLOOKUP(A50,Gifts,6)-VLOOKUP(A51,Gifts,6))</f>
        <v/>
      </c>
      <c r="E51" s="159" t="str">
        <f ca="1">IF(A51&gt;'Additional Input'!$E$11,"",E50*(1+'Additional Input'!$F$28))</f>
        <v/>
      </c>
      <c r="F51" s="159" t="str">
        <f ca="1">IF(A51&gt;'Additional Input'!$E$11,"",($F50*(1+'Additional Input'!$F$27))-$Q50+IF(('Additional Input'!$K$40)&gt;A50,'Additional Input'!$D$40*(1+IF('Additional Input'!$H$40=TRUE,'Additional Input'!$D$13,0))^A50,0)+IF(('Additional Input'!$K$40)&gt;A50,'Additional Input'!$F$40*(1+IF('Additional Input'!$H$40=TRUE,'Additional Input'!$D$13,0))^A50,0))</f>
        <v/>
      </c>
      <c r="G51" s="646" t="str">
        <f ca="1">IF(A51&gt;'Additional Input'!$E$11,"",-VLOOKUP(A51*12,Amortization,2))</f>
        <v/>
      </c>
      <c r="H51" s="159" t="str">
        <f ca="1">IF(A51&gt;'Additional Input'!$E$11,"",IF(A51&lt;=Calculator!$F$7,Calculator!$D$7,0)+Calculator!$D$8-IF(A51&gt;3,Calculator!$H$8,0))</f>
        <v/>
      </c>
      <c r="I51" s="159" t="str">
        <f ca="1">IF(A51&gt;'Additional Input'!$E$11,"",D51+E51+F51+G51+H51)</f>
        <v/>
      </c>
      <c r="J51" s="646" t="str">
        <f ca="1">IF(A51&gt;'Additional Input'!$E$11,"",VLOOKUP(A51,Gifts,9))</f>
        <v/>
      </c>
      <c r="K51" s="159" t="str">
        <f ca="1">IF(A51&gt;'Additional Input'!$E$11,"",IF(Calculator!$D$20=TRUE,Calculator!$I$20,0)+IF(A51&gt;3,Calculator!$H$8,0))</f>
        <v/>
      </c>
      <c r="L51" s="159" t="str">
        <f ca="1">IF(A51&gt;'Additional Input'!$E$11,"",J51+K51)</f>
        <v/>
      </c>
      <c r="M51" s="126" t="str">
        <f ca="1">IF(A51&gt;'Additional Input'!$E$11,"",(D51*'Additional Input'!$F$26)+(E51*'Additional Input'!$F$28)+(F51*'Additional Input'!$F$27))</f>
        <v/>
      </c>
      <c r="N51" s="126" t="str">
        <f ca="1">IF(A51&gt;'Additional Input'!$E$11,"",IF(('Additional Input'!$K$35)&gt;Projections!A51,'Additional Input'!$D$35*(1+IF('Additional Input'!$H$35=TRUE,'Additional Input'!$D$13,0))^Projections!A51,0)+IF(('Additional Input'!$K$36)&gt;Projections!A51,'Additional Input'!$D$36*(1+IF('Additional Input'!$H$36=TRUE,'Additional Input'!$D$13,0))^Projections!A51,0)-IF(('Additional Input'!$K$40)&gt;A51,'Additional Input'!$D$40*(1+IF('Additional Input'!$H$39=TRUE,'Additional Input'!$D$13,0))^A51,0)+IF(('Additional Input'!$F$37-'Additional Input'!$N$9)&lt;=Projections!A51,'Additional Input'!$D$37*(1+IF('Additional Input'!$H$37=TRUE,'Additional Input'!$D$13,0))^IF('Additional Input'!$K$37=TRUE,Projections!A51,Projections!A51-('Additional Input'!$F$37-'Additional Input'!$N$9)),0)+Adjustments!C51)</f>
        <v/>
      </c>
      <c r="O51" s="823" t="str">
        <f ca="1">IF(A51&gt;'Additional Input'!$E$11,"",IF(('Additional Input'!$N$9+Projections!$A51)&gt;=IF('Additional Input'!$K$44=TRUE,71,70),VLOOKUP(('Additional Input'!$N$9+Projections!$A51),UniformTable,2),0))</f>
        <v/>
      </c>
      <c r="P51" s="822" t="str">
        <f ca="1">IF(A51&gt;'Additional Input'!$E$11,"",IF($O51=0,0,$F51/$O51))</f>
        <v/>
      </c>
      <c r="Q51" s="178" t="str">
        <f ca="1">IF(A51&gt;'Additional Input'!$E$11,"",IF(IF('Additional Input'!$D$44=TRUE,IF($O51=0,0,$F51/$O51),IF('Additional Input'!$F$45-'Additional Input'!$N$9&lt;=Projections!$A51,IF($F51*(1+$F$4)&lt;'Additional Input'!$D$45*IF('Additional Input'!$H$45=TRUE,(1+'Additional Input'!$D$13)^IF('Additional Input'!$K$45=TRUE,$A51,$A51-('Additional Input'!$F$45-'Additional Input'!$N$9)),1),$F51*(1+$F$4),'Additional Input'!$D$45*IF('Additional Input'!$H$45=TRUE,(1+'Additional Input'!$D$13)^IF('Additional Input'!$K$45=TRUE,$A51,$A51-('Additional Input'!$F$45-'Additional Input'!$N$9)),1)),0))&lt;$P51,$P51,IF('Additional Input'!$D$44=TRUE,IF($O51=0,0,$F51/$O51),IF('Additional Input'!$F$45-'Additional Input'!$N$9&lt;=Projections!$A51,IF($F51*(1+$F$4)&lt;'Additional Input'!$D$45*IF('Additional Input'!$H$45=TRUE,(1+'Additional Input'!$D$13)^IF('Additional Input'!$K$45=TRUE,$A51,$A51-('Additional Input'!$F$45-'Additional Input'!$N$9)),1),$F51*(1+$F$4),'Additional Input'!$D$45*IF('Additional Input'!$H$45=TRUE,(1+'Additional Input'!$D$13)^IF('Additional Input'!$K$45=TRUE,$A51,$A51-('Additional Input'!$F$45-'Additional Input'!$N$9)),1)),0)))+Adjustments!D51)</f>
        <v/>
      </c>
      <c r="R51" s="571" t="str">
        <f ca="1">IF(A51&gt;'Additional Input'!$E$11,"",-((N51+Q51)*'Additional Input'!$D$12)+Adjustments!E51)</f>
        <v/>
      </c>
      <c r="S51" s="571" t="str">
        <f ca="1">IF(A51&gt;'Additional Input'!$E$11,"",IF($A51&gt;='Additional Input'!$D$19,-'Additional Input'!$D$18*(1+IF('Additional Input'!$F$18=TRUE,'Additional Input'!$D$13,0))^Projections!A51,0)-TaxTables!D77+Adjustments!F51-VLOOKUP(A51,Gifts,6))</f>
        <v/>
      </c>
      <c r="T51" s="126" t="str">
        <f ca="1">IF(A51&gt;'Additional Input'!$E$11,"",N51+Q51+R51+S51)</f>
        <v/>
      </c>
      <c r="U51" s="367"/>
    </row>
    <row r="52" spans="1:21" ht="14.25" hidden="1" customHeight="1">
      <c r="A52" s="122">
        <f t="shared" si="0"/>
        <v>47</v>
      </c>
      <c r="B52" s="110" t="str">
        <f ca="1">IF(A52&gt;'Additional Input'!$E$11,"",IF('Additional Input'!$N$9="","",'Additional Input'!$N$9+Projections!A52)&amp;"/"&amp;IF('Additional Input'!$O$9="","",IF('Additional Input'!$O$9=0,"",'Additional Input'!$O$9+Projections!A52)))</f>
        <v/>
      </c>
      <c r="C52" s="122" t="str">
        <f ca="1">IF(A52&gt;'Additional Input'!$E$11,"",+C51+1)</f>
        <v/>
      </c>
      <c r="D52" s="159" t="str">
        <f ca="1">IF(A52&gt;'Additional Input'!$E$11,"",($D51*(1+'Additional Input'!$F$26))+$N51+$Q51+$R51+$S51+VLOOKUP(A51,Gifts,6)-VLOOKUP(A52,Gifts,6))</f>
        <v/>
      </c>
      <c r="E52" s="159" t="str">
        <f ca="1">IF(A52&gt;'Additional Input'!$E$11,"",E51*(1+'Additional Input'!$F$28))</f>
        <v/>
      </c>
      <c r="F52" s="159" t="str">
        <f ca="1">IF(A52&gt;'Additional Input'!$E$11,"",($F51*(1+'Additional Input'!$F$27))-$Q51+IF(('Additional Input'!$K$40)&gt;A51,'Additional Input'!$D$40*(1+IF('Additional Input'!$H$40=TRUE,'Additional Input'!$D$13,0))^A51,0)+IF(('Additional Input'!$K$40)&gt;A51,'Additional Input'!$F$40*(1+IF('Additional Input'!$H$40=TRUE,'Additional Input'!$D$13,0))^A51,0))</f>
        <v/>
      </c>
      <c r="G52" s="646" t="str">
        <f ca="1">IF(A52&gt;'Additional Input'!$E$11,"",-VLOOKUP(A52*12,Amortization,2))</f>
        <v/>
      </c>
      <c r="H52" s="159" t="str">
        <f ca="1">IF(A52&gt;'Additional Input'!$E$11,"",IF(A52&lt;=Calculator!$F$7,Calculator!$D$7,0)+Calculator!$D$8-IF(A52&gt;3,Calculator!$H$8,0))</f>
        <v/>
      </c>
      <c r="I52" s="159" t="str">
        <f ca="1">IF(A52&gt;'Additional Input'!$E$11,"",D52+E52+F52+G52+H52)</f>
        <v/>
      </c>
      <c r="J52" s="646" t="str">
        <f ca="1">IF(A52&gt;'Additional Input'!$E$11,"",VLOOKUP(A52,Gifts,9))</f>
        <v/>
      </c>
      <c r="K52" s="159" t="str">
        <f ca="1">IF(A52&gt;'Additional Input'!$E$11,"",IF(Calculator!$D$20=TRUE,Calculator!$I$20,0)+IF(A52&gt;3,Calculator!$H$8,0))</f>
        <v/>
      </c>
      <c r="L52" s="159" t="str">
        <f ca="1">IF(A52&gt;'Additional Input'!$E$11,"",J52+K52)</f>
        <v/>
      </c>
      <c r="M52" s="126" t="str">
        <f ca="1">IF(A52&gt;'Additional Input'!$E$11,"",(D52*'Additional Input'!$F$26)+(E52*'Additional Input'!$F$28)+(F52*'Additional Input'!$F$27))</f>
        <v/>
      </c>
      <c r="N52" s="126" t="str">
        <f ca="1">IF(A52&gt;'Additional Input'!$E$11,"",IF(('Additional Input'!$K$35)&gt;Projections!A52,'Additional Input'!$D$35*(1+IF('Additional Input'!$H$35=TRUE,'Additional Input'!$D$13,0))^Projections!A52,0)+IF(('Additional Input'!$K$36)&gt;Projections!A52,'Additional Input'!$D$36*(1+IF('Additional Input'!$H$36=TRUE,'Additional Input'!$D$13,0))^Projections!A52,0)-IF(('Additional Input'!$K$40)&gt;A52,'Additional Input'!$D$40*(1+IF('Additional Input'!$H$39=TRUE,'Additional Input'!$D$13,0))^A52,0)+IF(('Additional Input'!$F$37-'Additional Input'!$N$9)&lt;=Projections!A52,'Additional Input'!$D$37*(1+IF('Additional Input'!$H$37=TRUE,'Additional Input'!$D$13,0))^IF('Additional Input'!$K$37=TRUE,Projections!A52,Projections!A52-('Additional Input'!$F$37-'Additional Input'!$N$9)),0)+Adjustments!C52)</f>
        <v/>
      </c>
      <c r="O52" s="823" t="str">
        <f ca="1">IF(A52&gt;'Additional Input'!$E$11,"",IF(('Additional Input'!$N$9+Projections!$A52)&gt;=IF('Additional Input'!$K$44=TRUE,71,70),VLOOKUP(('Additional Input'!$N$9+Projections!$A52),UniformTable,2),0))</f>
        <v/>
      </c>
      <c r="P52" s="822" t="str">
        <f ca="1">IF(A52&gt;'Additional Input'!$E$11,"",IF($O52=0,0,$F52/$O52))</f>
        <v/>
      </c>
      <c r="Q52" s="178" t="str">
        <f ca="1">IF(A52&gt;'Additional Input'!$E$11,"",IF(IF('Additional Input'!$D$44=TRUE,IF($O52=0,0,$F52/$O52),IF('Additional Input'!$F$45-'Additional Input'!$N$9&lt;=Projections!$A52,IF($F52*(1+$F$4)&lt;'Additional Input'!$D$45*IF('Additional Input'!$H$45=TRUE,(1+'Additional Input'!$D$13)^IF('Additional Input'!$K$45=TRUE,$A52,$A52-('Additional Input'!$F$45-'Additional Input'!$N$9)),1),$F52*(1+$F$4),'Additional Input'!$D$45*IF('Additional Input'!$H$45=TRUE,(1+'Additional Input'!$D$13)^IF('Additional Input'!$K$45=TRUE,$A52,$A52-('Additional Input'!$F$45-'Additional Input'!$N$9)),1)),0))&lt;$P52,$P52,IF('Additional Input'!$D$44=TRUE,IF($O52=0,0,$F52/$O52),IF('Additional Input'!$F$45-'Additional Input'!$N$9&lt;=Projections!$A52,IF($F52*(1+$F$4)&lt;'Additional Input'!$D$45*IF('Additional Input'!$H$45=TRUE,(1+'Additional Input'!$D$13)^IF('Additional Input'!$K$45=TRUE,$A52,$A52-('Additional Input'!$F$45-'Additional Input'!$N$9)),1),$F52*(1+$F$4),'Additional Input'!$D$45*IF('Additional Input'!$H$45=TRUE,(1+'Additional Input'!$D$13)^IF('Additional Input'!$K$45=TRUE,$A52,$A52-('Additional Input'!$F$45-'Additional Input'!$N$9)),1)),0)))+Adjustments!D52)</f>
        <v/>
      </c>
      <c r="R52" s="571" t="str">
        <f ca="1">IF(A52&gt;'Additional Input'!$E$11,"",-((N52+Q52)*'Additional Input'!$D$12)+Adjustments!E52)</f>
        <v/>
      </c>
      <c r="S52" s="571" t="str">
        <f ca="1">IF(A52&gt;'Additional Input'!$E$11,"",IF($A52&gt;='Additional Input'!$D$19,-'Additional Input'!$D$18*(1+IF('Additional Input'!$F$18=TRUE,'Additional Input'!$D$13,0))^Projections!A52,0)-TaxTables!D78+Adjustments!F52-VLOOKUP(A52,Gifts,6))</f>
        <v/>
      </c>
      <c r="T52" s="126" t="str">
        <f ca="1">IF(A52&gt;'Additional Input'!$E$11,"",N52+Q52+R52+S52)</f>
        <v/>
      </c>
      <c r="U52" s="367"/>
    </row>
    <row r="53" spans="1:21" ht="14.25" hidden="1" customHeight="1">
      <c r="A53" s="122">
        <f t="shared" si="0"/>
        <v>48</v>
      </c>
      <c r="B53" s="110" t="str">
        <f ca="1">IF(A53&gt;'Additional Input'!$E$11,"",IF('Additional Input'!$N$9="","",'Additional Input'!$N$9+Projections!A53)&amp;"/"&amp;IF('Additional Input'!$O$9="","",IF('Additional Input'!$O$9=0,"",'Additional Input'!$O$9+Projections!A53)))</f>
        <v/>
      </c>
      <c r="C53" s="122" t="str">
        <f ca="1">IF(A53&gt;'Additional Input'!$E$11,"",+C52+1)</f>
        <v/>
      </c>
      <c r="D53" s="159" t="str">
        <f ca="1">IF(A53&gt;'Additional Input'!$E$11,"",($D52*(1+'Additional Input'!$F$26))+$N52+$Q52+$R52+$S52+VLOOKUP(A52,Gifts,6)-VLOOKUP(A53,Gifts,6))</f>
        <v/>
      </c>
      <c r="E53" s="159" t="str">
        <f ca="1">IF(A53&gt;'Additional Input'!$E$11,"",E52*(1+'Additional Input'!$F$28))</f>
        <v/>
      </c>
      <c r="F53" s="159" t="str">
        <f ca="1">IF(A53&gt;'Additional Input'!$E$11,"",($F52*(1+'Additional Input'!$F$27))-$Q52+IF(('Additional Input'!$K$40)&gt;A52,'Additional Input'!$D$40*(1+IF('Additional Input'!$H$40=TRUE,'Additional Input'!$D$13,0))^A52,0)+IF(('Additional Input'!$K$40)&gt;A52,'Additional Input'!$F$40*(1+IF('Additional Input'!$H$40=TRUE,'Additional Input'!$D$13,0))^A52,0))</f>
        <v/>
      </c>
      <c r="G53" s="646" t="str">
        <f ca="1">IF(A53&gt;'Additional Input'!$E$11,"",-VLOOKUP(A53*12,Amortization,2))</f>
        <v/>
      </c>
      <c r="H53" s="159" t="str">
        <f ca="1">IF(A53&gt;'Additional Input'!$E$11,"",IF(A53&lt;=Calculator!$F$7,Calculator!$D$7,0)+Calculator!$D$8-IF(A53&gt;3,Calculator!$H$8,0))</f>
        <v/>
      </c>
      <c r="I53" s="159" t="str">
        <f ca="1">IF(A53&gt;'Additional Input'!$E$11,"",D53+E53+F53+G53+H53)</f>
        <v/>
      </c>
      <c r="J53" s="646" t="str">
        <f ca="1">IF(A53&gt;'Additional Input'!$E$11,"",VLOOKUP(A53,Gifts,9))</f>
        <v/>
      </c>
      <c r="K53" s="159" t="str">
        <f ca="1">IF(A53&gt;'Additional Input'!$E$11,"",IF(Calculator!$D$20=TRUE,Calculator!$I$20,0)+IF(A53&gt;3,Calculator!$H$8,0))</f>
        <v/>
      </c>
      <c r="L53" s="159" t="str">
        <f ca="1">IF(A53&gt;'Additional Input'!$E$11,"",J53+K53)</f>
        <v/>
      </c>
      <c r="M53" s="126" t="str">
        <f ca="1">IF(A53&gt;'Additional Input'!$E$11,"",(D53*'Additional Input'!$F$26)+(E53*'Additional Input'!$F$28)+(F53*'Additional Input'!$F$27))</f>
        <v/>
      </c>
      <c r="N53" s="126" t="str">
        <f ca="1">IF(A53&gt;'Additional Input'!$E$11,"",IF(('Additional Input'!$K$35)&gt;Projections!A53,'Additional Input'!$D$35*(1+IF('Additional Input'!$H$35=TRUE,'Additional Input'!$D$13,0))^Projections!A53,0)+IF(('Additional Input'!$K$36)&gt;Projections!A53,'Additional Input'!$D$36*(1+IF('Additional Input'!$H$36=TRUE,'Additional Input'!$D$13,0))^Projections!A53,0)-IF(('Additional Input'!$K$40)&gt;A53,'Additional Input'!$D$40*(1+IF('Additional Input'!$H$39=TRUE,'Additional Input'!$D$13,0))^A53,0)+IF(('Additional Input'!$F$37-'Additional Input'!$N$9)&lt;=Projections!A53,'Additional Input'!$D$37*(1+IF('Additional Input'!$H$37=TRUE,'Additional Input'!$D$13,0))^IF('Additional Input'!$K$37=TRUE,Projections!A53,Projections!A53-('Additional Input'!$F$37-'Additional Input'!$N$9)),0)+Adjustments!C53)</f>
        <v/>
      </c>
      <c r="O53" s="823" t="str">
        <f ca="1">IF(A53&gt;'Additional Input'!$E$11,"",IF(('Additional Input'!$N$9+Projections!$A53)&gt;=IF('Additional Input'!$K$44=TRUE,71,70),VLOOKUP(('Additional Input'!$N$9+Projections!$A53),UniformTable,2),0))</f>
        <v/>
      </c>
      <c r="P53" s="822" t="str">
        <f ca="1">IF(A53&gt;'Additional Input'!$E$11,"",IF($O53=0,0,$F53/$O53))</f>
        <v/>
      </c>
      <c r="Q53" s="178" t="str">
        <f ca="1">IF(A53&gt;'Additional Input'!$E$11,"",IF(IF('Additional Input'!$D$44=TRUE,IF($O53=0,0,$F53/$O53),IF('Additional Input'!$F$45-'Additional Input'!$N$9&lt;=Projections!$A53,IF($F53*(1+$F$4)&lt;'Additional Input'!$D$45*IF('Additional Input'!$H$45=TRUE,(1+'Additional Input'!$D$13)^IF('Additional Input'!$K$45=TRUE,$A53,$A53-('Additional Input'!$F$45-'Additional Input'!$N$9)),1),$F53*(1+$F$4),'Additional Input'!$D$45*IF('Additional Input'!$H$45=TRUE,(1+'Additional Input'!$D$13)^IF('Additional Input'!$K$45=TRUE,$A53,$A53-('Additional Input'!$F$45-'Additional Input'!$N$9)),1)),0))&lt;$P53,$P53,IF('Additional Input'!$D$44=TRUE,IF($O53=0,0,$F53/$O53),IF('Additional Input'!$F$45-'Additional Input'!$N$9&lt;=Projections!$A53,IF($F53*(1+$F$4)&lt;'Additional Input'!$D$45*IF('Additional Input'!$H$45=TRUE,(1+'Additional Input'!$D$13)^IF('Additional Input'!$K$45=TRUE,$A53,$A53-('Additional Input'!$F$45-'Additional Input'!$N$9)),1),$F53*(1+$F$4),'Additional Input'!$D$45*IF('Additional Input'!$H$45=TRUE,(1+'Additional Input'!$D$13)^IF('Additional Input'!$K$45=TRUE,$A53,$A53-('Additional Input'!$F$45-'Additional Input'!$N$9)),1)),0)))+Adjustments!D53)</f>
        <v/>
      </c>
      <c r="R53" s="571" t="str">
        <f ca="1">IF(A53&gt;'Additional Input'!$E$11,"",-((N53+Q53)*'Additional Input'!$D$12)+Adjustments!E53)</f>
        <v/>
      </c>
      <c r="S53" s="571" t="str">
        <f ca="1">IF(A53&gt;'Additional Input'!$E$11,"",IF($A53&gt;='Additional Input'!$D$19,-'Additional Input'!$D$18*(1+IF('Additional Input'!$F$18=TRUE,'Additional Input'!$D$13,0))^Projections!A53,0)-TaxTables!D79+Adjustments!F53-VLOOKUP(A53,Gifts,6))</f>
        <v/>
      </c>
      <c r="T53" s="126" t="str">
        <f ca="1">IF(A53&gt;'Additional Input'!$E$11,"",N53+Q53+R53+S53)</f>
        <v/>
      </c>
      <c r="U53" s="367"/>
    </row>
    <row r="54" spans="1:21" ht="14.25" hidden="1" customHeight="1">
      <c r="A54" s="122">
        <f t="shared" si="0"/>
        <v>49</v>
      </c>
      <c r="B54" s="110" t="str">
        <f ca="1">IF(A54&gt;'Additional Input'!$E$11,"",IF('Additional Input'!$N$9="","",'Additional Input'!$N$9+Projections!A54)&amp;"/"&amp;IF('Additional Input'!$O$9="","",IF('Additional Input'!$O$9=0,"",'Additional Input'!$O$9+Projections!A54)))</f>
        <v/>
      </c>
      <c r="C54" s="122" t="str">
        <f ca="1">IF(A54&gt;'Additional Input'!$E$11,"",+C53+1)</f>
        <v/>
      </c>
      <c r="D54" s="159" t="str">
        <f ca="1">IF(A54&gt;'Additional Input'!$E$11,"",($D53*(1+'Additional Input'!$F$26))+$N53+$Q53+$R53+$S53+VLOOKUP(A53,Gifts,6)-VLOOKUP(A54,Gifts,6))</f>
        <v/>
      </c>
      <c r="E54" s="159" t="str">
        <f ca="1">IF(A54&gt;'Additional Input'!$E$11,"",E53*(1+'Additional Input'!$F$28))</f>
        <v/>
      </c>
      <c r="F54" s="159" t="str">
        <f ca="1">IF(A54&gt;'Additional Input'!$E$11,"",($F53*(1+'Additional Input'!$F$27))-$Q53+IF(('Additional Input'!$K$40)&gt;A53,'Additional Input'!$D$40*(1+IF('Additional Input'!$H$40=TRUE,'Additional Input'!$D$13,0))^A53,0)+IF(('Additional Input'!$K$40)&gt;A53,'Additional Input'!$F$40*(1+IF('Additional Input'!$H$40=TRUE,'Additional Input'!$D$13,0))^A53,0))</f>
        <v/>
      </c>
      <c r="G54" s="646" t="str">
        <f ca="1">IF(A54&gt;'Additional Input'!$E$11,"",-VLOOKUP(A54*12,Amortization,2))</f>
        <v/>
      </c>
      <c r="H54" s="159" t="str">
        <f ca="1">IF(A54&gt;'Additional Input'!$E$11,"",IF(A54&lt;=Calculator!$F$7,Calculator!$D$7,0)+Calculator!$D$8-IF(A54&gt;3,Calculator!$H$8,0))</f>
        <v/>
      </c>
      <c r="I54" s="159" t="str">
        <f ca="1">IF(A54&gt;'Additional Input'!$E$11,"",D54+E54+F54+G54+H54)</f>
        <v/>
      </c>
      <c r="J54" s="646" t="str">
        <f ca="1">IF(A54&gt;'Additional Input'!$E$11,"",VLOOKUP(A54,Gifts,9))</f>
        <v/>
      </c>
      <c r="K54" s="159" t="str">
        <f ca="1">IF(A54&gt;'Additional Input'!$E$11,"",IF(Calculator!$D$20=TRUE,Calculator!$I$20,0)+IF(A54&gt;3,Calculator!$H$8,0))</f>
        <v/>
      </c>
      <c r="L54" s="159" t="str">
        <f ca="1">IF(A54&gt;'Additional Input'!$E$11,"",J54+K54)</f>
        <v/>
      </c>
      <c r="M54" s="126" t="str">
        <f ca="1">IF(A54&gt;'Additional Input'!$E$11,"",(D54*'Additional Input'!$F$26)+(E54*'Additional Input'!$F$28)+(F54*'Additional Input'!$F$27))</f>
        <v/>
      </c>
      <c r="N54" s="126" t="str">
        <f ca="1">IF(A54&gt;'Additional Input'!$E$11,"",IF(('Additional Input'!$K$35)&gt;Projections!A54,'Additional Input'!$D$35*(1+IF('Additional Input'!$H$35=TRUE,'Additional Input'!$D$13,0))^Projections!A54,0)+IF(('Additional Input'!$K$36)&gt;Projections!A54,'Additional Input'!$D$36*(1+IF('Additional Input'!$H$36=TRUE,'Additional Input'!$D$13,0))^Projections!A54,0)-IF(('Additional Input'!$K$40)&gt;A54,'Additional Input'!$D$40*(1+IF('Additional Input'!$H$39=TRUE,'Additional Input'!$D$13,0))^A54,0)+IF(('Additional Input'!$F$37-'Additional Input'!$N$9)&lt;=Projections!A54,'Additional Input'!$D$37*(1+IF('Additional Input'!$H$37=TRUE,'Additional Input'!$D$13,0))^IF('Additional Input'!$K$37=TRUE,Projections!A54,Projections!A54-('Additional Input'!$F$37-'Additional Input'!$N$9)),0)+Adjustments!C54)</f>
        <v/>
      </c>
      <c r="O54" s="823" t="str">
        <f ca="1">IF(A54&gt;'Additional Input'!$E$11,"",IF(('Additional Input'!$N$9+Projections!$A54)&gt;=IF('Additional Input'!$K$44=TRUE,71,70),VLOOKUP(('Additional Input'!$N$9+Projections!$A54),UniformTable,2),0))</f>
        <v/>
      </c>
      <c r="P54" s="822" t="str">
        <f ca="1">IF(A54&gt;'Additional Input'!$E$11,"",IF($O54=0,0,$F54/$O54))</f>
        <v/>
      </c>
      <c r="Q54" s="178" t="str">
        <f ca="1">IF(A54&gt;'Additional Input'!$E$11,"",IF(IF('Additional Input'!$D$44=TRUE,IF($O54=0,0,$F54/$O54),IF('Additional Input'!$F$45-'Additional Input'!$N$9&lt;=Projections!$A54,IF($F54*(1+$F$4)&lt;'Additional Input'!$D$45*IF('Additional Input'!$H$45=TRUE,(1+'Additional Input'!$D$13)^IF('Additional Input'!$K$45=TRUE,$A54,$A54-('Additional Input'!$F$45-'Additional Input'!$N$9)),1),$F54*(1+$F$4),'Additional Input'!$D$45*IF('Additional Input'!$H$45=TRUE,(1+'Additional Input'!$D$13)^IF('Additional Input'!$K$45=TRUE,$A54,$A54-('Additional Input'!$F$45-'Additional Input'!$N$9)),1)),0))&lt;$P54,$P54,IF('Additional Input'!$D$44=TRUE,IF($O54=0,0,$F54/$O54),IF('Additional Input'!$F$45-'Additional Input'!$N$9&lt;=Projections!$A54,IF($F54*(1+$F$4)&lt;'Additional Input'!$D$45*IF('Additional Input'!$H$45=TRUE,(1+'Additional Input'!$D$13)^IF('Additional Input'!$K$45=TRUE,$A54,$A54-('Additional Input'!$F$45-'Additional Input'!$N$9)),1),$F54*(1+$F$4),'Additional Input'!$D$45*IF('Additional Input'!$H$45=TRUE,(1+'Additional Input'!$D$13)^IF('Additional Input'!$K$45=TRUE,$A54,$A54-('Additional Input'!$F$45-'Additional Input'!$N$9)),1)),0)))+Adjustments!D54)</f>
        <v/>
      </c>
      <c r="R54" s="571" t="str">
        <f ca="1">IF(A54&gt;'Additional Input'!$E$11,"",-((N54+Q54)*'Additional Input'!$D$12)+Adjustments!E54)</f>
        <v/>
      </c>
      <c r="S54" s="571" t="str">
        <f ca="1">IF(A54&gt;'Additional Input'!$E$11,"",IF($A54&gt;='Additional Input'!$D$19,-'Additional Input'!$D$18*(1+IF('Additional Input'!$F$18=TRUE,'Additional Input'!$D$13,0))^Projections!A54,0)-TaxTables!D80+Adjustments!F54-VLOOKUP(A54,Gifts,6))</f>
        <v/>
      </c>
      <c r="T54" s="126" t="str">
        <f ca="1">IF(A54&gt;'Additional Input'!$E$11,"",N54+Q54+R54+S54)</f>
        <v/>
      </c>
      <c r="U54" s="367"/>
    </row>
    <row r="55" spans="1:21" s="119" customFormat="1" ht="14.25" customHeight="1">
      <c r="A55" s="650">
        <f t="shared" si="0"/>
        <v>50</v>
      </c>
      <c r="B55" s="651" t="str">
        <f ca="1">IF(A55&gt;'Additional Input'!$E$11,"",IF('Additional Input'!$N$9="","",'Additional Input'!$N$9+Projections!A55)&amp;"/"&amp;IF('Additional Input'!$O$9="","",IF('Additional Input'!$O$9=0,"",'Additional Input'!$O$9+Projections!A55)))</f>
        <v/>
      </c>
      <c r="C55" s="650" t="str">
        <f ca="1">IF(A55&gt;'Additional Input'!$E$11,"",+C54+1)</f>
        <v/>
      </c>
      <c r="D55" s="652" t="str">
        <f ca="1">IF(A55&gt;'Additional Input'!$E$11,"",($D54*(1+'Additional Input'!$F$26))+$N54+$Q54+$R54+$S54+VLOOKUP(A54,Gifts,6)-VLOOKUP(A55,Gifts,6))</f>
        <v/>
      </c>
      <c r="E55" s="653" t="str">
        <f ca="1">IF(A55&gt;'Additional Input'!$E$11,"",E54*(1+'Additional Input'!$F$28))</f>
        <v/>
      </c>
      <c r="F55" s="653" t="str">
        <f ca="1">IF(A55&gt;'Additional Input'!$E$11,"",($F54*(1+'Additional Input'!$F$27))-$Q54+IF(('Additional Input'!$K$40)&gt;A54,'Additional Input'!$D$40*(1+IF('Additional Input'!$H$40=TRUE,'Additional Input'!$D$13,0))^A54,0)+IF(('Additional Input'!$K$40)&gt;A54,'Additional Input'!$F$40*(1+IF('Additional Input'!$H$40=TRUE,'Additional Input'!$D$13,0))^A54,0))</f>
        <v/>
      </c>
      <c r="G55" s="853" t="str">
        <f ca="1">IF(A55&gt;'Additional Input'!$E$11,"",-VLOOKUP(A55*12,Amortization,2))</f>
        <v/>
      </c>
      <c r="H55" s="652" t="str">
        <f ca="1">IF(A55&gt;'Additional Input'!$E$11,"",IF(A55&lt;=Calculator!$F$7,Calculator!$D$7,0)+Calculator!$D$8-IF(A55&gt;3,Calculator!$H$8,0))</f>
        <v/>
      </c>
      <c r="I55" s="652" t="str">
        <f ca="1">IF(A55&gt;'Additional Input'!$E$11,"",D55+E55+F55+G55+H55)</f>
        <v/>
      </c>
      <c r="J55" s="649" t="str">
        <f ca="1">IF(A55&gt;'Additional Input'!$E$11,"",VLOOKUP(A55,Gifts,9))</f>
        <v/>
      </c>
      <c r="K55" s="652" t="str">
        <f ca="1">IF(A55&gt;'Additional Input'!$E$11,"",IF(Calculator!$D$20=TRUE,Calculator!$I$20,0)+IF(A55&gt;3,Calculator!$H$8,0))</f>
        <v/>
      </c>
      <c r="L55" s="652" t="str">
        <f ca="1">IF(A55&gt;'Additional Input'!$E$11,"",J55+K55)</f>
        <v/>
      </c>
      <c r="M55" s="654" t="str">
        <f ca="1">IF(A55&gt;'Additional Input'!$E$11,"",(D55*'Additional Input'!$F$26)+(E55*'Additional Input'!$F$28)+(F55*'Additional Input'!$F$27))</f>
        <v/>
      </c>
      <c r="N55" s="655" t="str">
        <f ca="1">IF(A55&gt;'Additional Input'!$E$11,"",IF(('Additional Input'!$K$35)&gt;Projections!A55,'Additional Input'!$D$35*(1+IF('Additional Input'!$H$35=TRUE,'Additional Input'!$D$13,0))^Projections!A55,0)+IF(('Additional Input'!$K$36)&gt;Projections!A55,'Additional Input'!$D$36*(1+IF('Additional Input'!$H$36=TRUE,'Additional Input'!$D$13,0))^Projections!A55,0)-IF(('Additional Input'!$K$40)&gt;A55,'Additional Input'!$D$40*(1+IF('Additional Input'!$H$39=TRUE,'Additional Input'!$D$13,0))^A55,0)+IF(('Additional Input'!$F$37-'Additional Input'!$N$9)&lt;=Projections!A55,'Additional Input'!$D$37*(1+IF('Additional Input'!$H$37=TRUE,'Additional Input'!$D$13,0))^IF('Additional Input'!$K$37=TRUE,Projections!A55,Projections!A55-('Additional Input'!$F$37-'Additional Input'!$N$9)),0)+Adjustments!C55)</f>
        <v/>
      </c>
      <c r="O55" s="824" t="str">
        <f ca="1">IF(A55&gt;'Additional Input'!$E$11,"",IF(('Additional Input'!$N$9+Projections!$A55)&gt;=IF('Additional Input'!$K$44=TRUE,71,70),VLOOKUP(('Additional Input'!$N$9+Projections!$A55),UniformTable,2),0))</f>
        <v/>
      </c>
      <c r="P55" s="825" t="str">
        <f ca="1">IF(A55&gt;'Additional Input'!$E$11,"",IF($O55=0,0,$F55/$O55))</f>
        <v/>
      </c>
      <c r="Q55" s="655" t="str">
        <f ca="1">IF(A55&gt;'Additional Input'!$E$11,"",IF(IF('Additional Input'!$D$44=TRUE,IF($O55=0,0,$F55/$O55),IF('Additional Input'!$F$45-'Additional Input'!$N$9&lt;=Projections!$A55,IF($F55*(1+$F$4)&lt;'Additional Input'!$D$45*IF('Additional Input'!$H$45=TRUE,(1+'Additional Input'!$D$13)^IF('Additional Input'!$K$45=TRUE,$A55,$A55-('Additional Input'!$F$45-'Additional Input'!$N$9)),1),$F55*(1+$F$4),'Additional Input'!$D$45*IF('Additional Input'!$H$45=TRUE,(1+'Additional Input'!$D$13)^IF('Additional Input'!$K$45=TRUE,$A55,$A55-('Additional Input'!$F$45-'Additional Input'!$N$9)),1)),0))&lt;$P55,$P55,IF('Additional Input'!$D$44=TRUE,IF($O55=0,0,$F55/$O55),IF('Additional Input'!$F$45-'Additional Input'!$N$9&lt;=Projections!$A55,IF($F55*(1+$F$4)&lt;'Additional Input'!$D$45*IF('Additional Input'!$H$45=TRUE,(1+'Additional Input'!$D$13)^IF('Additional Input'!$K$45=TRUE,$A55,$A55-('Additional Input'!$F$45-'Additional Input'!$N$9)),1),$F55*(1+$F$4),'Additional Input'!$D$45*IF('Additional Input'!$H$45=TRUE,(1+'Additional Input'!$D$13)^IF('Additional Input'!$K$45=TRUE,$A55,$A55-('Additional Input'!$F$45-'Additional Input'!$N$9)),1)),0)))+Adjustments!D55)</f>
        <v/>
      </c>
      <c r="R55" s="656" t="str">
        <f ca="1">IF(A55&gt;'Additional Input'!$E$11,"",-((N55+Q55)*'Additional Input'!$D$12)+Adjustments!E55)</f>
        <v/>
      </c>
      <c r="S55" s="656" t="str">
        <f ca="1">IF(A55&gt;'Additional Input'!$E$11,"",IF($A55&gt;='Additional Input'!$D$19,-'Additional Input'!$D$18*(1+IF('Additional Input'!$F$18=TRUE,'Additional Input'!$D$13,0))^Projections!A55,0)-TaxTables!D81+Adjustments!F55-VLOOKUP(A55,Gifts,6))</f>
        <v/>
      </c>
      <c r="T55" s="654" t="str">
        <f ca="1">IF(A55&gt;'Additional Input'!$E$11,"",N55+Q55+R55+S55)</f>
        <v/>
      </c>
      <c r="U55" s="637"/>
    </row>
    <row r="56" spans="1:21" ht="14.25" hidden="1" customHeight="1">
      <c r="A56" s="118">
        <f t="shared" si="0"/>
        <v>51</v>
      </c>
      <c r="B56" s="110" t="str">
        <f ca="1">IF(A56&gt;'Additional Input'!$E$11,"",IF('Additional Input'!$N$9="","",'Additional Input'!$N$9+Projections!A56)&amp;"/"&amp;IF('Additional Input'!$O$9="","",IF('Additional Input'!$O$9=0,"",'Additional Input'!$O$9+Projections!A56)))</f>
        <v/>
      </c>
      <c r="C56" s="122" t="str">
        <f ca="1">IF(A56&gt;'Additional Input'!$E$11,"",+C55+1)</f>
        <v/>
      </c>
      <c r="D56" s="159" t="str">
        <f ca="1">IF(A56&gt;'Additional Input'!$E$11,"",($D55*(1+'Additional Input'!$F$26))+$N55+$Q55+$R55+$S55+VLOOKUP(A55,Gifts,6)-VLOOKUP(A56,Gifts,6))</f>
        <v/>
      </c>
      <c r="E56" s="159" t="str">
        <f ca="1">IF(A56&gt;'Additional Input'!$E$11,"",E55*(1+'Additional Input'!$F$28))</f>
        <v/>
      </c>
      <c r="F56" s="159" t="str">
        <f ca="1">IF(A56&gt;'Additional Input'!$E$11,"",($F55*(1+'Additional Input'!$F$27))-$Q55+IF(('Additional Input'!$K$40)&gt;A55,'Additional Input'!$D$40*(1+IF('Additional Input'!$H$40=TRUE,'Additional Input'!$D$13,0))^A55,0)+IF(('Additional Input'!$K$40)&gt;A55,'Additional Input'!$F$40*(1+IF('Additional Input'!$H$40=TRUE,'Additional Input'!$D$13,0))^A55,0))</f>
        <v/>
      </c>
      <c r="G56" s="646" t="str">
        <f ca="1">IF(A56&gt;'Additional Input'!$E$11,"",-VLOOKUP(A56*12,Amortization,2))</f>
        <v/>
      </c>
      <c r="H56" s="159" t="str">
        <f ca="1">IF(A56&gt;'Additional Input'!$E$11,"",IF(A56&lt;=Calculator!$F$7,Calculator!$D$7,0)+Calculator!$D$8-IF(A56&gt;3,Calculator!$H$8,0))</f>
        <v/>
      </c>
      <c r="I56" s="159" t="str">
        <f ca="1">IF(A56&gt;'Additional Input'!$E$11,"",D56+E56+F56+G56+H56)</f>
        <v/>
      </c>
      <c r="J56" s="646" t="str">
        <f ca="1">IF(A56&gt;'Additional Input'!$E$11,"",VLOOKUP(A56,Gifts,9))</f>
        <v/>
      </c>
      <c r="K56" s="159" t="str">
        <f ca="1">IF(A56&gt;'Additional Input'!$E$11,"",IF(Calculator!$D$20=TRUE,Calculator!$I$20,0)+IF(A56&gt;3,Calculator!$H$8,0))</f>
        <v/>
      </c>
      <c r="L56" s="159" t="str">
        <f ca="1">IF(A56&gt;'Additional Input'!$E$11,"",J56+K56)</f>
        <v/>
      </c>
      <c r="M56" s="126" t="str">
        <f ca="1">IF(A56&gt;'Additional Input'!$E$11,"",(D56*'Additional Input'!$F$26)+(E56*'Additional Input'!$F$28)+(F56*'Additional Input'!$F$27))</f>
        <v/>
      </c>
      <c r="N56" s="126" t="str">
        <f ca="1">IF(A56&gt;'Additional Input'!$E$11,"",IF(('Additional Input'!$K$35)&gt;Projections!A56,'Additional Input'!$D$35*(1+IF('Additional Input'!$H$35=TRUE,'Additional Input'!$D$13,0))^Projections!A56,0)+IF(('Additional Input'!$K$36)&gt;Projections!A56,'Additional Input'!$D$36*(1+IF('Additional Input'!$H$36=TRUE,'Additional Input'!$D$13,0))^Projections!A56,0)-IF(('Additional Input'!$K$40)&gt;A56,'Additional Input'!$D$40*(1+IF('Additional Input'!$H$39=TRUE,'Additional Input'!$D$13,0))^A56,0)+IF(('Additional Input'!$F$37-'Additional Input'!$N$9)&lt;=Projections!A56,'Additional Input'!$D$37*(1+IF('Additional Input'!$H$37=TRUE,'Additional Input'!$D$13,0))^IF('Additional Input'!$K$37=TRUE,Projections!A56,Projections!A56-('Additional Input'!$F$37-'Additional Input'!$N$9)),0)+Adjustments!C56)</f>
        <v/>
      </c>
      <c r="O56" s="823" t="str">
        <f ca="1">IF(A56&gt;'Additional Input'!$E$11,"",IF(('Additional Input'!$N$9+Projections!$A56)&gt;=IF('Additional Input'!$K$44=TRUE,71,70),VLOOKUP(('Additional Input'!$N$9+Projections!$A56),UniformTable,2),0))</f>
        <v/>
      </c>
      <c r="P56" s="822" t="str">
        <f ca="1">IF(A56&gt;'Additional Input'!$E$11,"",IF($O56=0,0,$F56/$O56))</f>
        <v/>
      </c>
      <c r="Q56" s="178" t="str">
        <f ca="1">IF(A56&gt;'Additional Input'!$E$11,"",IF(IF('Additional Input'!$D$44=TRUE,IF($O56=0,0,$F56/$O56),IF('Additional Input'!$F$45-'Additional Input'!$N$9&lt;=Projections!$A56,IF($F56*(1+$F$4)&lt;'Additional Input'!$D$45*IF('Additional Input'!$H$45=TRUE,(1+'Additional Input'!$D$13)^IF('Additional Input'!$K$45=TRUE,$A56,$A56-('Additional Input'!$F$45-'Additional Input'!$N$9)),1),$F56*(1+$F$4),'Additional Input'!$D$45*IF('Additional Input'!$H$45=TRUE,(1+'Additional Input'!$D$13)^IF('Additional Input'!$K$45=TRUE,$A56,$A56-('Additional Input'!$F$45-'Additional Input'!$N$9)),1)),0))&lt;$P56,$P56,IF('Additional Input'!$D$44=TRUE,IF($O56=0,0,$F56/$O56),IF('Additional Input'!$F$45-'Additional Input'!$N$9&lt;=Projections!$A56,IF($F56*(1+$F$4)&lt;'Additional Input'!$D$45*IF('Additional Input'!$H$45=TRUE,(1+'Additional Input'!$D$13)^IF('Additional Input'!$K$45=TRUE,$A56,$A56-('Additional Input'!$F$45-'Additional Input'!$N$9)),1),$F56*(1+$F$4),'Additional Input'!$D$45*IF('Additional Input'!$H$45=TRUE,(1+'Additional Input'!$D$13)^IF('Additional Input'!$K$45=TRUE,$A56,$A56-('Additional Input'!$F$45-'Additional Input'!$N$9)),1)),0)))+Adjustments!D56)</f>
        <v/>
      </c>
      <c r="R56" s="571" t="str">
        <f ca="1">IF(A56&gt;'Additional Input'!$E$11,"",-((N56+Q56)*'Additional Input'!$D$12)+Adjustments!E56)</f>
        <v/>
      </c>
      <c r="S56" s="571" t="str">
        <f ca="1">IF(A56&gt;'Additional Input'!$E$11,"",IF($A56&gt;='Additional Input'!$D$19,-'Additional Input'!$D$18*(1+IF('Additional Input'!$F$18=TRUE,'Additional Input'!$D$13,0))^Projections!A56,0)-TaxTables!D82+Adjustments!F56-VLOOKUP(A56,Gifts,6))</f>
        <v/>
      </c>
      <c r="T56" s="126" t="str">
        <f ca="1">IF(A56&gt;'Additional Input'!$E$11,"",N56+Q56+R56+S56)</f>
        <v/>
      </c>
      <c r="U56" s="367"/>
    </row>
    <row r="57" spans="1:21" ht="14.25" hidden="1" customHeight="1">
      <c r="A57" s="118">
        <f t="shared" si="0"/>
        <v>52</v>
      </c>
      <c r="B57" s="110" t="str">
        <f ca="1">IF(A57&gt;'Additional Input'!$E$11,"",IF('Additional Input'!$N$9="","",'Additional Input'!$N$9+Projections!A57)&amp;"/"&amp;IF('Additional Input'!$O$9="","",IF('Additional Input'!$O$9=0,"",'Additional Input'!$O$9+Projections!A57)))</f>
        <v/>
      </c>
      <c r="C57" s="122" t="str">
        <f ca="1">IF(A57&gt;'Additional Input'!$E$11,"",+C56+1)</f>
        <v/>
      </c>
      <c r="D57" s="159" t="str">
        <f ca="1">IF(A57&gt;'Additional Input'!$E$11,"",($D56*(1+'Additional Input'!$F$26))+$N56+$Q56+$R56+$S56+VLOOKUP(A56,Gifts,6)-VLOOKUP(A57,Gifts,6))</f>
        <v/>
      </c>
      <c r="E57" s="159" t="str">
        <f ca="1">IF(A57&gt;'Additional Input'!$E$11,"",E56*(1+'Additional Input'!$F$28))</f>
        <v/>
      </c>
      <c r="F57" s="159" t="str">
        <f ca="1">IF(A57&gt;'Additional Input'!$E$11,"",($F56*(1+'Additional Input'!$F$27))-$Q56+IF(('Additional Input'!$K$40)&gt;A56,'Additional Input'!$D$40*(1+IF('Additional Input'!$H$40=TRUE,'Additional Input'!$D$13,0))^A56,0)+IF(('Additional Input'!$K$40)&gt;A56,'Additional Input'!$F$40*(1+IF('Additional Input'!$H$40=TRUE,'Additional Input'!$D$13,0))^A56,0))</f>
        <v/>
      </c>
      <c r="G57" s="646" t="str">
        <f ca="1">IF(A57&gt;'Additional Input'!$E$11,"",-VLOOKUP(A57*12,Amortization,2))</f>
        <v/>
      </c>
      <c r="H57" s="159" t="str">
        <f ca="1">IF(A57&gt;'Additional Input'!$E$11,"",IF(A57&lt;=Calculator!$F$7,Calculator!$D$7,0)+Calculator!$D$8-IF(A57&gt;3,Calculator!$H$8,0))</f>
        <v/>
      </c>
      <c r="I57" s="159" t="str">
        <f ca="1">IF(A57&gt;'Additional Input'!$E$11,"",D57+E57+F57+G57+H57)</f>
        <v/>
      </c>
      <c r="J57" s="646" t="str">
        <f ca="1">IF(A57&gt;'Additional Input'!$E$11,"",VLOOKUP(A57,Gifts,9))</f>
        <v/>
      </c>
      <c r="K57" s="159" t="str">
        <f ca="1">IF(A57&gt;'Additional Input'!$E$11,"",IF(Calculator!$D$20=TRUE,Calculator!$I$20,0)+IF(A57&gt;3,Calculator!$H$8,0))</f>
        <v/>
      </c>
      <c r="L57" s="159" t="str">
        <f ca="1">IF(A57&gt;'Additional Input'!$E$11,"",J57+K57)</f>
        <v/>
      </c>
      <c r="M57" s="126" t="str">
        <f ca="1">IF(A57&gt;'Additional Input'!$E$11,"",(D57*'Additional Input'!$F$26)+(E57*'Additional Input'!$F$28)+(F57*'Additional Input'!$F$27))</f>
        <v/>
      </c>
      <c r="N57" s="126" t="str">
        <f ca="1">IF(A57&gt;'Additional Input'!$E$11,"",IF(('Additional Input'!$K$35)&gt;Projections!A57,'Additional Input'!$D$35*(1+IF('Additional Input'!$H$35=TRUE,'Additional Input'!$D$13,0))^Projections!A57,0)+IF(('Additional Input'!$K$36)&gt;Projections!A57,'Additional Input'!$D$36*(1+IF('Additional Input'!$H$36=TRUE,'Additional Input'!$D$13,0))^Projections!A57,0)-IF(('Additional Input'!$K$40)&gt;A57,'Additional Input'!$D$40*(1+IF('Additional Input'!$H$39=TRUE,'Additional Input'!$D$13,0))^A57,0)+IF(('Additional Input'!$F$37-'Additional Input'!$N$9)&lt;=Projections!A57,'Additional Input'!$D$37*(1+IF('Additional Input'!$H$37=TRUE,'Additional Input'!$D$13,0))^IF('Additional Input'!$K$37=TRUE,Projections!A57,Projections!A57-('Additional Input'!$F$37-'Additional Input'!$N$9)),0)+Adjustments!C57)</f>
        <v/>
      </c>
      <c r="O57" s="823" t="str">
        <f ca="1">IF(A57&gt;'Additional Input'!$E$11,"",IF(('Additional Input'!$N$9+Projections!$A57)&gt;=IF('Additional Input'!$K$44=TRUE,71,70),VLOOKUP(('Additional Input'!$N$9+Projections!$A57),UniformTable,2),0))</f>
        <v/>
      </c>
      <c r="P57" s="822" t="str">
        <f ca="1">IF(A57&gt;'Additional Input'!$E$11,"",IF($O57=0,0,$F57/$O57))</f>
        <v/>
      </c>
      <c r="Q57" s="178" t="str">
        <f ca="1">IF(A57&gt;'Additional Input'!$E$11,"",IF(IF('Additional Input'!$D$44=TRUE,IF($O57=0,0,$F57/$O57),IF('Additional Input'!$F$45-'Additional Input'!$N$9&lt;=Projections!$A57,IF($F57*(1+$F$4)&lt;'Additional Input'!$D$45*IF('Additional Input'!$H$45=TRUE,(1+'Additional Input'!$D$13)^IF('Additional Input'!$K$45=TRUE,$A57,$A57-('Additional Input'!$F$45-'Additional Input'!$N$9)),1),$F57*(1+$F$4),'Additional Input'!$D$45*IF('Additional Input'!$H$45=TRUE,(1+'Additional Input'!$D$13)^IF('Additional Input'!$K$45=TRUE,$A57,$A57-('Additional Input'!$F$45-'Additional Input'!$N$9)),1)),0))&lt;$P57,$P57,IF('Additional Input'!$D$44=TRUE,IF($O57=0,0,$F57/$O57),IF('Additional Input'!$F$45-'Additional Input'!$N$9&lt;=Projections!$A57,IF($F57*(1+$F$4)&lt;'Additional Input'!$D$45*IF('Additional Input'!$H$45=TRUE,(1+'Additional Input'!$D$13)^IF('Additional Input'!$K$45=TRUE,$A57,$A57-('Additional Input'!$F$45-'Additional Input'!$N$9)),1),$F57*(1+$F$4),'Additional Input'!$D$45*IF('Additional Input'!$H$45=TRUE,(1+'Additional Input'!$D$13)^IF('Additional Input'!$K$45=TRUE,$A57,$A57-('Additional Input'!$F$45-'Additional Input'!$N$9)),1)),0)))+Adjustments!D57)</f>
        <v/>
      </c>
      <c r="R57" s="571" t="str">
        <f ca="1">IF(A57&gt;'Additional Input'!$E$11,"",-((N57+Q57)*'Additional Input'!$D$12)+Adjustments!E57)</f>
        <v/>
      </c>
      <c r="S57" s="571" t="str">
        <f ca="1">IF(A57&gt;'Additional Input'!$E$11,"",IF($A57&gt;='Additional Input'!$D$19,-'Additional Input'!$D$18*(1+IF('Additional Input'!$F$18=TRUE,'Additional Input'!$D$13,0))^Projections!A57,0)-TaxTables!D83+Adjustments!F57-VLOOKUP(A57,Gifts,6))</f>
        <v/>
      </c>
      <c r="T57" s="126" t="str">
        <f ca="1">IF(A57&gt;'Additional Input'!$E$11,"",N57+Q57+R57+S57)</f>
        <v/>
      </c>
      <c r="U57" s="367"/>
    </row>
    <row r="58" spans="1:21" ht="14.25" hidden="1" customHeight="1">
      <c r="A58" s="118">
        <f t="shared" si="0"/>
        <v>53</v>
      </c>
      <c r="B58" s="110" t="str">
        <f ca="1">IF(A58&gt;'Additional Input'!$E$11,"",IF('Additional Input'!$N$9="","",'Additional Input'!$N$9+Projections!A58)&amp;"/"&amp;IF('Additional Input'!$O$9="","",IF('Additional Input'!$O$9=0,"",'Additional Input'!$O$9+Projections!A58)))</f>
        <v/>
      </c>
      <c r="C58" s="122" t="str">
        <f ca="1">IF(A58&gt;'Additional Input'!$E$11,"",+C57+1)</f>
        <v/>
      </c>
      <c r="D58" s="159" t="str">
        <f ca="1">IF(A58&gt;'Additional Input'!$E$11,"",($D57*(1+'Additional Input'!$F$26))+$N57+$Q57+$R57+$S57+VLOOKUP(A57,Gifts,6)-VLOOKUP(A58,Gifts,6))</f>
        <v/>
      </c>
      <c r="E58" s="159" t="str">
        <f ca="1">IF(A58&gt;'Additional Input'!$E$11,"",E57*(1+'Additional Input'!$F$28))</f>
        <v/>
      </c>
      <c r="F58" s="159" t="str">
        <f ca="1">IF(A58&gt;'Additional Input'!$E$11,"",($F57*(1+'Additional Input'!$F$27))-$Q57+IF(('Additional Input'!$K$40)&gt;A57,'Additional Input'!$D$40*(1+IF('Additional Input'!$H$40=TRUE,'Additional Input'!$D$13,0))^A57,0)+IF(('Additional Input'!$K$40)&gt;A57,'Additional Input'!$F$40*(1+IF('Additional Input'!$H$40=TRUE,'Additional Input'!$D$13,0))^A57,0))</f>
        <v/>
      </c>
      <c r="G58" s="646" t="str">
        <f ca="1">IF(A58&gt;'Additional Input'!$E$11,"",-VLOOKUP(A58*12,Amortization,2))</f>
        <v/>
      </c>
      <c r="H58" s="159" t="str">
        <f ca="1">IF(A58&gt;'Additional Input'!$E$11,"",IF(A58&lt;=Calculator!$F$7,Calculator!$D$7,0)+Calculator!$D$8-IF(A58&gt;3,Calculator!$H$8,0))</f>
        <v/>
      </c>
      <c r="I58" s="159" t="str">
        <f ca="1">IF(A58&gt;'Additional Input'!$E$11,"",D58+E58+F58+G58+H58)</f>
        <v/>
      </c>
      <c r="J58" s="646" t="str">
        <f ca="1">IF(A58&gt;'Additional Input'!$E$11,"",VLOOKUP(A58,Gifts,9))</f>
        <v/>
      </c>
      <c r="K58" s="159" t="str">
        <f ca="1">IF(A58&gt;'Additional Input'!$E$11,"",IF(Calculator!$D$20=TRUE,Calculator!$I$20,0)+IF(A58&gt;3,Calculator!$H$8,0))</f>
        <v/>
      </c>
      <c r="L58" s="159" t="str">
        <f ca="1">IF(A58&gt;'Additional Input'!$E$11,"",J58+K58)</f>
        <v/>
      </c>
      <c r="M58" s="126" t="str">
        <f ca="1">IF(A58&gt;'Additional Input'!$E$11,"",(D58*'Additional Input'!$F$26)+(E58*'Additional Input'!$F$28)+(F58*'Additional Input'!$F$27))</f>
        <v/>
      </c>
      <c r="N58" s="126" t="str">
        <f ca="1">IF(A58&gt;'Additional Input'!$E$11,"",IF(('Additional Input'!$K$35)&gt;Projections!A58,'Additional Input'!$D$35*(1+IF('Additional Input'!$H$35=TRUE,'Additional Input'!$D$13,0))^Projections!A58,0)+IF(('Additional Input'!$K$36)&gt;Projections!A58,'Additional Input'!$D$36*(1+IF('Additional Input'!$H$36=TRUE,'Additional Input'!$D$13,0))^Projections!A58,0)-IF(('Additional Input'!$K$40)&gt;A58,'Additional Input'!$D$40*(1+IF('Additional Input'!$H$39=TRUE,'Additional Input'!$D$13,0))^A58,0)+IF(('Additional Input'!$F$37-'Additional Input'!$N$9)&lt;=Projections!A58,'Additional Input'!$D$37*(1+IF('Additional Input'!$H$37=TRUE,'Additional Input'!$D$13,0))^IF('Additional Input'!$K$37=TRUE,Projections!A58,Projections!A58-('Additional Input'!$F$37-'Additional Input'!$N$9)),0)+Adjustments!C58)</f>
        <v/>
      </c>
      <c r="O58" s="823" t="str">
        <f ca="1">IF(A58&gt;'Additional Input'!$E$11,"",IF(('Additional Input'!$N$9+Projections!$A58)&gt;=IF('Additional Input'!$K$44=TRUE,71,70),VLOOKUP(('Additional Input'!$N$9+Projections!$A58),UniformTable,2),0))</f>
        <v/>
      </c>
      <c r="P58" s="822" t="str">
        <f ca="1">IF(A58&gt;'Additional Input'!$E$11,"",IF($O58=0,0,$F58/$O58))</f>
        <v/>
      </c>
      <c r="Q58" s="178" t="str">
        <f ca="1">IF(A58&gt;'Additional Input'!$E$11,"",IF(IF('Additional Input'!$D$44=TRUE,IF($O58=0,0,$F58/$O58),IF('Additional Input'!$F$45-'Additional Input'!$N$9&lt;=Projections!$A58,IF($F58*(1+$F$4)&lt;'Additional Input'!$D$45*IF('Additional Input'!$H$45=TRUE,(1+'Additional Input'!$D$13)^IF('Additional Input'!$K$45=TRUE,$A58,$A58-('Additional Input'!$F$45-'Additional Input'!$N$9)),1),$F58*(1+$F$4),'Additional Input'!$D$45*IF('Additional Input'!$H$45=TRUE,(1+'Additional Input'!$D$13)^IF('Additional Input'!$K$45=TRUE,$A58,$A58-('Additional Input'!$F$45-'Additional Input'!$N$9)),1)),0))&lt;$P58,$P58,IF('Additional Input'!$D$44=TRUE,IF($O58=0,0,$F58/$O58),IF('Additional Input'!$F$45-'Additional Input'!$N$9&lt;=Projections!$A58,IF($F58*(1+$F$4)&lt;'Additional Input'!$D$45*IF('Additional Input'!$H$45=TRUE,(1+'Additional Input'!$D$13)^IF('Additional Input'!$K$45=TRUE,$A58,$A58-('Additional Input'!$F$45-'Additional Input'!$N$9)),1),$F58*(1+$F$4),'Additional Input'!$D$45*IF('Additional Input'!$H$45=TRUE,(1+'Additional Input'!$D$13)^IF('Additional Input'!$K$45=TRUE,$A58,$A58-('Additional Input'!$F$45-'Additional Input'!$N$9)),1)),0)))+Adjustments!D58)</f>
        <v/>
      </c>
      <c r="R58" s="571" t="str">
        <f ca="1">IF(A58&gt;'Additional Input'!$E$11,"",-((N58+Q58)*'Additional Input'!$D$12)+Adjustments!E58)</f>
        <v/>
      </c>
      <c r="S58" s="571" t="str">
        <f ca="1">IF(A58&gt;'Additional Input'!$E$11,"",IF($A58&gt;='Additional Input'!$D$19,-'Additional Input'!$D$18*(1+IF('Additional Input'!$F$18=TRUE,'Additional Input'!$D$13,0))^Projections!A58,0)-TaxTables!D84+Adjustments!F58-VLOOKUP(A58,Gifts,6))</f>
        <v/>
      </c>
      <c r="T58" s="126" t="str">
        <f ca="1">IF(A58&gt;'Additional Input'!$E$11,"",N58+Q58+R58+S58)</f>
        <v/>
      </c>
      <c r="U58" s="367"/>
    </row>
    <row r="59" spans="1:21" ht="14.25" hidden="1" customHeight="1">
      <c r="A59" s="118">
        <f t="shared" si="0"/>
        <v>54</v>
      </c>
      <c r="B59" s="110" t="str">
        <f ca="1">IF(A59&gt;'Additional Input'!$E$11,"",IF('Additional Input'!$N$9="","",'Additional Input'!$N$9+Projections!A59)&amp;"/"&amp;IF('Additional Input'!$O$9="","",IF('Additional Input'!$O$9=0,"",'Additional Input'!$O$9+Projections!A59)))</f>
        <v/>
      </c>
      <c r="C59" s="122" t="str">
        <f ca="1">IF(A59&gt;'Additional Input'!$E$11,"",+C58+1)</f>
        <v/>
      </c>
      <c r="D59" s="159" t="str">
        <f ca="1">IF(A59&gt;'Additional Input'!$E$11,"",($D58*(1+'Additional Input'!$F$26))+$N58+$Q58+$R58+$S58+VLOOKUP(A58,Gifts,6)-VLOOKUP(A59,Gifts,6))</f>
        <v/>
      </c>
      <c r="E59" s="159" t="str">
        <f ca="1">IF(A59&gt;'Additional Input'!$E$11,"",E58*(1+'Additional Input'!$F$28))</f>
        <v/>
      </c>
      <c r="F59" s="159" t="str">
        <f ca="1">IF(A59&gt;'Additional Input'!$E$11,"",($F58*(1+'Additional Input'!$F$27))-$Q58+IF(('Additional Input'!$K$40)&gt;A58,'Additional Input'!$D$40*(1+IF('Additional Input'!$H$40=TRUE,'Additional Input'!$D$13,0))^A58,0)+IF(('Additional Input'!$K$40)&gt;A58,'Additional Input'!$F$40*(1+IF('Additional Input'!$H$40=TRUE,'Additional Input'!$D$13,0))^A58,0))</f>
        <v/>
      </c>
      <c r="G59" s="646" t="str">
        <f ca="1">IF(A59&gt;'Additional Input'!$E$11,"",-VLOOKUP(A59*12,Amortization,2))</f>
        <v/>
      </c>
      <c r="H59" s="159" t="str">
        <f ca="1">IF(A59&gt;'Additional Input'!$E$11,"",IF(A59&lt;=Calculator!$F$7,Calculator!$D$7,0)+Calculator!$D$8-IF(A59&gt;3,Calculator!$H$8,0))</f>
        <v/>
      </c>
      <c r="I59" s="159" t="str">
        <f ca="1">IF(A59&gt;'Additional Input'!$E$11,"",D59+E59+F59+G59+H59)</f>
        <v/>
      </c>
      <c r="J59" s="646" t="str">
        <f ca="1">IF(A59&gt;'Additional Input'!$E$11,"",VLOOKUP(A59,Gifts,9))</f>
        <v/>
      </c>
      <c r="K59" s="159" t="str">
        <f ca="1">IF(A59&gt;'Additional Input'!$E$11,"",IF(Calculator!$D$20=TRUE,Calculator!$I$20,0)+IF(A59&gt;3,Calculator!$H$8,0))</f>
        <v/>
      </c>
      <c r="L59" s="159" t="str">
        <f ca="1">IF(A59&gt;'Additional Input'!$E$11,"",J59+K59)</f>
        <v/>
      </c>
      <c r="M59" s="126" t="str">
        <f ca="1">IF(A59&gt;'Additional Input'!$E$11,"",(D59*'Additional Input'!$F$26)+(E59*'Additional Input'!$F$28)+(F59*'Additional Input'!$F$27))</f>
        <v/>
      </c>
      <c r="N59" s="126" t="str">
        <f ca="1">IF(A59&gt;'Additional Input'!$E$11,"",IF(('Additional Input'!$K$35)&gt;Projections!A59,'Additional Input'!$D$35*(1+IF('Additional Input'!$H$35=TRUE,'Additional Input'!$D$13,0))^Projections!A59,0)+IF(('Additional Input'!$K$36)&gt;Projections!A59,'Additional Input'!$D$36*(1+IF('Additional Input'!$H$36=TRUE,'Additional Input'!$D$13,0))^Projections!A59,0)-IF(('Additional Input'!$K$40)&gt;A59,'Additional Input'!$D$40*(1+IF('Additional Input'!$H$39=TRUE,'Additional Input'!$D$13,0))^A59,0)+IF(('Additional Input'!$F$37-'Additional Input'!$N$9)&lt;=Projections!A59,'Additional Input'!$D$37*(1+IF('Additional Input'!$H$37=TRUE,'Additional Input'!$D$13,0))^IF('Additional Input'!$K$37=TRUE,Projections!A59,Projections!A59-('Additional Input'!$F$37-'Additional Input'!$N$9)),0)+Adjustments!C59)</f>
        <v/>
      </c>
      <c r="O59" s="823" t="str">
        <f ca="1">IF(A59&gt;'Additional Input'!$E$11,"",IF(('Additional Input'!$N$9+Projections!$A59)&gt;=IF('Additional Input'!$K$44=TRUE,71,70),VLOOKUP(('Additional Input'!$N$9+Projections!$A59),UniformTable,2),0))</f>
        <v/>
      </c>
      <c r="P59" s="822" t="str">
        <f ca="1">IF(A59&gt;'Additional Input'!$E$11,"",IF($O59=0,0,$F59/$O59))</f>
        <v/>
      </c>
      <c r="Q59" s="178" t="str">
        <f ca="1">IF(A59&gt;'Additional Input'!$E$11,"",IF(IF('Additional Input'!$D$44=TRUE,IF($O59=0,0,$F59/$O59),IF('Additional Input'!$F$45-'Additional Input'!$N$9&lt;=Projections!$A59,IF($F59*(1+$F$4)&lt;'Additional Input'!$D$45*IF('Additional Input'!$H$45=TRUE,(1+'Additional Input'!$D$13)^IF('Additional Input'!$K$45=TRUE,$A59,$A59-('Additional Input'!$F$45-'Additional Input'!$N$9)),1),$F59*(1+$F$4),'Additional Input'!$D$45*IF('Additional Input'!$H$45=TRUE,(1+'Additional Input'!$D$13)^IF('Additional Input'!$K$45=TRUE,$A59,$A59-('Additional Input'!$F$45-'Additional Input'!$N$9)),1)),0))&lt;$P59,$P59,IF('Additional Input'!$D$44=TRUE,IF($O59=0,0,$F59/$O59),IF('Additional Input'!$F$45-'Additional Input'!$N$9&lt;=Projections!$A59,IF($F59*(1+$F$4)&lt;'Additional Input'!$D$45*IF('Additional Input'!$H$45=TRUE,(1+'Additional Input'!$D$13)^IF('Additional Input'!$K$45=TRUE,$A59,$A59-('Additional Input'!$F$45-'Additional Input'!$N$9)),1),$F59*(1+$F$4),'Additional Input'!$D$45*IF('Additional Input'!$H$45=TRUE,(1+'Additional Input'!$D$13)^IF('Additional Input'!$K$45=TRUE,$A59,$A59-('Additional Input'!$F$45-'Additional Input'!$N$9)),1)),0)))+Adjustments!D59)</f>
        <v/>
      </c>
      <c r="R59" s="571" t="str">
        <f ca="1">IF(A59&gt;'Additional Input'!$E$11,"",-((N59+Q59)*'Additional Input'!$D$12)+Adjustments!E59)</f>
        <v/>
      </c>
      <c r="S59" s="571" t="str">
        <f ca="1">IF(A59&gt;'Additional Input'!$E$11,"",IF($A59&gt;='Additional Input'!$D$19,-'Additional Input'!$D$18*(1+IF('Additional Input'!$F$18=TRUE,'Additional Input'!$D$13,0))^Projections!A59,0)-TaxTables!D85+Adjustments!F59-VLOOKUP(A59,Gifts,6))</f>
        <v/>
      </c>
      <c r="T59" s="126" t="str">
        <f ca="1">IF(A59&gt;'Additional Input'!$E$11,"",N59+Q59+R59+S59)</f>
        <v/>
      </c>
      <c r="U59" s="367"/>
    </row>
    <row r="60" spans="1:21" s="120" customFormat="1" ht="14.25" customHeight="1">
      <c r="A60" s="650">
        <f t="shared" si="0"/>
        <v>55</v>
      </c>
      <c r="B60" s="651" t="str">
        <f ca="1">IF(A60&gt;'Additional Input'!$E$11,"",IF('Additional Input'!$N$9="","",'Additional Input'!$N$9+Projections!A60)&amp;"/"&amp;IF('Additional Input'!$O$9="","",IF('Additional Input'!$O$9=0,"",'Additional Input'!$O$9+Projections!A60)))</f>
        <v/>
      </c>
      <c r="C60" s="650" t="str">
        <f ca="1">IF(A60&gt;'Additional Input'!$E$11,"",+C59+1)</f>
        <v/>
      </c>
      <c r="D60" s="652" t="str">
        <f ca="1">IF(A60&gt;'Additional Input'!$E$11,"",($D59*(1+'Additional Input'!$F$26))+$N59+$Q59+$R59+$S59+VLOOKUP(A59,Gifts,6)-VLOOKUP(A60,Gifts,6))</f>
        <v/>
      </c>
      <c r="E60" s="653" t="str">
        <f ca="1">IF(A60&gt;'Additional Input'!$E$11,"",E59*(1+'Additional Input'!$F$28))</f>
        <v/>
      </c>
      <c r="F60" s="653" t="str">
        <f ca="1">IF(A60&gt;'Additional Input'!$E$11,"",($F59*(1+'Additional Input'!$F$27))-$Q59+IF(('Additional Input'!$K$40)&gt;A59,'Additional Input'!$D$40*(1+IF('Additional Input'!$H$40=TRUE,'Additional Input'!$D$13,0))^A59,0)+IF(('Additional Input'!$K$40)&gt;A59,'Additional Input'!$F$40*(1+IF('Additional Input'!$H$40=TRUE,'Additional Input'!$D$13,0))^A59,0))</f>
        <v/>
      </c>
      <c r="G60" s="853" t="str">
        <f ca="1">IF(A60&gt;'Additional Input'!$E$11,"",-VLOOKUP(A60*12,Amortization,2))</f>
        <v/>
      </c>
      <c r="H60" s="652" t="str">
        <f ca="1">IF(A60&gt;'Additional Input'!$E$11,"",IF(A60&lt;=Calculator!$F$7,Calculator!$D$7,0)+Calculator!$D$8-IF(A60&gt;3,Calculator!$H$8,0))</f>
        <v/>
      </c>
      <c r="I60" s="652" t="str">
        <f ca="1">IF(A60&gt;'Additional Input'!$E$11,"",D60+E60+F60+G60+H60)</f>
        <v/>
      </c>
      <c r="J60" s="649" t="str">
        <f ca="1">IF(A60&gt;'Additional Input'!$E$11,"",VLOOKUP(A60,Gifts,9))</f>
        <v/>
      </c>
      <c r="K60" s="652" t="str">
        <f ca="1">IF(A60&gt;'Additional Input'!$E$11,"",IF(Calculator!$D$20=TRUE,Calculator!$I$20,0)+IF(A60&gt;3,Calculator!$H$8,0))</f>
        <v/>
      </c>
      <c r="L60" s="652" t="str">
        <f ca="1">IF(A60&gt;'Additional Input'!$E$11,"",J60+K60)</f>
        <v/>
      </c>
      <c r="M60" s="654" t="str">
        <f ca="1">IF(A60&gt;'Additional Input'!$E$11,"",(D60*'Additional Input'!$F$26)+(E60*'Additional Input'!$F$28)+(F60*'Additional Input'!$F$27))</f>
        <v/>
      </c>
      <c r="N60" s="655" t="str">
        <f ca="1">IF(A60&gt;'Additional Input'!$E$11,"",IF(('Additional Input'!$K$35)&gt;Projections!A60,'Additional Input'!$D$35*(1+IF('Additional Input'!$H$35=TRUE,'Additional Input'!$D$13,0))^Projections!A60,0)+IF(('Additional Input'!$K$36)&gt;Projections!A60,'Additional Input'!$D$36*(1+IF('Additional Input'!$H$36=TRUE,'Additional Input'!$D$13,0))^Projections!A60,0)-IF(('Additional Input'!$K$40)&gt;A60,'Additional Input'!$D$40*(1+IF('Additional Input'!$H$39=TRUE,'Additional Input'!$D$13,0))^A60,0)+IF(('Additional Input'!$F$37-'Additional Input'!$N$9)&lt;=Projections!A60,'Additional Input'!$D$37*(1+IF('Additional Input'!$H$37=TRUE,'Additional Input'!$D$13,0))^IF('Additional Input'!$K$37=TRUE,Projections!A60,Projections!A60-('Additional Input'!$F$37-'Additional Input'!$N$9)),0)+Adjustments!C60)</f>
        <v/>
      </c>
      <c r="O60" s="824" t="str">
        <f ca="1">IF(A60&gt;'Additional Input'!$E$11,"",IF(('Additional Input'!$N$9+Projections!$A60)&gt;=IF('Additional Input'!$K$44=TRUE,71,70),VLOOKUP(('Additional Input'!$N$9+Projections!$A60),UniformTable,2),0))</f>
        <v/>
      </c>
      <c r="P60" s="825" t="str">
        <f ca="1">IF(A60&gt;'Additional Input'!$E$11,"",IF($O60=0,0,$F60/$O60))</f>
        <v/>
      </c>
      <c r="Q60" s="655" t="str">
        <f ca="1">IF(A60&gt;'Additional Input'!$E$11,"",IF(IF('Additional Input'!$D$44=TRUE,IF($O60=0,0,$F60/$O60),IF('Additional Input'!$F$45-'Additional Input'!$N$9&lt;=Projections!$A60,IF($F60*(1+$F$4)&lt;'Additional Input'!$D$45*IF('Additional Input'!$H$45=TRUE,(1+'Additional Input'!$D$13)^IF('Additional Input'!$K$45=TRUE,$A60,$A60-('Additional Input'!$F$45-'Additional Input'!$N$9)),1),$F60*(1+$F$4),'Additional Input'!$D$45*IF('Additional Input'!$H$45=TRUE,(1+'Additional Input'!$D$13)^IF('Additional Input'!$K$45=TRUE,$A60,$A60-('Additional Input'!$F$45-'Additional Input'!$N$9)),1)),0))&lt;$P60,$P60,IF('Additional Input'!$D$44=TRUE,IF($O60=0,0,$F60/$O60),IF('Additional Input'!$F$45-'Additional Input'!$N$9&lt;=Projections!$A60,IF($F60*(1+$F$4)&lt;'Additional Input'!$D$45*IF('Additional Input'!$H$45=TRUE,(1+'Additional Input'!$D$13)^IF('Additional Input'!$K$45=TRUE,$A60,$A60-('Additional Input'!$F$45-'Additional Input'!$N$9)),1),$F60*(1+$F$4),'Additional Input'!$D$45*IF('Additional Input'!$H$45=TRUE,(1+'Additional Input'!$D$13)^IF('Additional Input'!$K$45=TRUE,$A60,$A60-('Additional Input'!$F$45-'Additional Input'!$N$9)),1)),0)))+Adjustments!D60)</f>
        <v/>
      </c>
      <c r="R60" s="656" t="str">
        <f ca="1">IF(A60&gt;'Additional Input'!$E$11,"",-((N60+Q60)*'Additional Input'!$D$12)+Adjustments!E60)</f>
        <v/>
      </c>
      <c r="S60" s="656" t="str">
        <f ca="1">IF(A60&gt;'Additional Input'!$E$11,"",IF($A60&gt;='Additional Input'!$D$19,-'Additional Input'!$D$18*(1+IF('Additional Input'!$F$18=TRUE,'Additional Input'!$D$13,0))^Projections!A60,0)-TaxTables!D86+Adjustments!F60-VLOOKUP(A60,Gifts,6))</f>
        <v/>
      </c>
      <c r="T60" s="654" t="str">
        <f ca="1">IF(A60&gt;'Additional Input'!$E$11,"",N60+Q60+R60+S60)</f>
        <v/>
      </c>
      <c r="U60" s="637"/>
    </row>
    <row r="61" spans="1:21" ht="14.25" hidden="1" customHeight="1">
      <c r="A61" s="118">
        <f t="shared" si="0"/>
        <v>56</v>
      </c>
      <c r="B61" s="110" t="str">
        <f ca="1">IF(A61&gt;'Additional Input'!$E$11,"",IF('Additional Input'!$N$9="","",'Additional Input'!$N$9+Projections!A61)&amp;"/"&amp;IF('Additional Input'!$O$9="","",IF('Additional Input'!$O$9=0,"",'Additional Input'!$O$9+Projections!A61)))</f>
        <v/>
      </c>
      <c r="C61" s="122" t="str">
        <f ca="1">IF(A61&gt;'Additional Input'!$E$11,"",+C60+1)</f>
        <v/>
      </c>
      <c r="D61" s="159" t="str">
        <f ca="1">IF(A61&gt;'Additional Input'!$E$11,"",($D60*(1+'Additional Input'!$F$26))+$N60+$Q60+$R60+$S60+VLOOKUP(A60,Gifts,6)-VLOOKUP(A61,Gifts,6))</f>
        <v/>
      </c>
      <c r="E61" s="159" t="str">
        <f ca="1">IF(A61&gt;'Additional Input'!$E$11,"",E60*(1+'Additional Input'!$F$28))</f>
        <v/>
      </c>
      <c r="F61" s="159" t="str">
        <f ca="1">IF(A61&gt;'Additional Input'!$E$11,"",($F60*(1+'Additional Input'!$F$27))-$Q60+IF(('Additional Input'!$K$40)&gt;A60,'Additional Input'!$D$40*(1+IF('Additional Input'!$H$40=TRUE,'Additional Input'!$D$13,0))^A60,0)+IF(('Additional Input'!$K$40)&gt;A60,'Additional Input'!$F$40*(1+IF('Additional Input'!$H$40=TRUE,'Additional Input'!$D$13,0))^A60,0))</f>
        <v/>
      </c>
      <c r="G61" s="646" t="str">
        <f ca="1">IF(A61&gt;'Additional Input'!$E$11,"",-VLOOKUP(A61*12,Amortization,2))</f>
        <v/>
      </c>
      <c r="H61" s="159" t="str">
        <f ca="1">IF(A61&gt;'Additional Input'!$E$11,"",IF(A61&lt;=Calculator!$F$7,Calculator!$D$7,0)+Calculator!$D$8-IF(A61&gt;3,Calculator!$H$8,0))</f>
        <v/>
      </c>
      <c r="I61" s="159" t="str">
        <f ca="1">IF(A61&gt;'Additional Input'!$E$11,"",D61+E61+F61+G61+H61)</f>
        <v/>
      </c>
      <c r="J61" s="646" t="str">
        <f ca="1">IF(A61&gt;'Additional Input'!$E$11,"",VLOOKUP(A61,Gifts,9))</f>
        <v/>
      </c>
      <c r="K61" s="159" t="str">
        <f ca="1">IF(A61&gt;'Additional Input'!$E$11,"",IF(Calculator!$D$20=TRUE,Calculator!$I$20,0)+IF(A61&gt;3,Calculator!$H$8,0))</f>
        <v/>
      </c>
      <c r="L61" s="159" t="str">
        <f ca="1">IF(A61&gt;'Additional Input'!$E$11,"",J61+K61)</f>
        <v/>
      </c>
      <c r="M61" s="126" t="str">
        <f ca="1">IF(A61&gt;'Additional Input'!$E$11,"",(D61*'Additional Input'!$F$26)+(E61*'Additional Input'!$F$28)+(F61*'Additional Input'!$F$27))</f>
        <v/>
      </c>
      <c r="N61" s="126" t="str">
        <f ca="1">IF(A61&gt;'Additional Input'!$E$11,"",IF(('Additional Input'!$K$35)&gt;Projections!A61,'Additional Input'!$D$35*(1+IF('Additional Input'!$H$35=TRUE,'Additional Input'!$D$13,0))^Projections!A61,0)+IF(('Additional Input'!$K$36)&gt;Projections!A61,'Additional Input'!$D$36*(1+IF('Additional Input'!$H$36=TRUE,'Additional Input'!$D$13,0))^Projections!A61,0)-IF(('Additional Input'!$K$40)&gt;A61,'Additional Input'!$D$40*(1+IF('Additional Input'!$H$39=TRUE,'Additional Input'!$D$13,0))^A61,0)+IF(('Additional Input'!$F$37-'Additional Input'!$N$9)&lt;=Projections!A61,'Additional Input'!$D$37*(1+IF('Additional Input'!$H$37=TRUE,'Additional Input'!$D$13,0))^IF('Additional Input'!$K$37=TRUE,Projections!A61,Projections!A61-('Additional Input'!$F$37-'Additional Input'!$N$9)),0)+Adjustments!C61)</f>
        <v/>
      </c>
      <c r="O61" s="823" t="str">
        <f ca="1">IF(A61&gt;'Additional Input'!$E$11,"",IF(('Additional Input'!$N$9+Projections!$A61)&gt;=IF('Additional Input'!$K$44=TRUE,71,70),VLOOKUP(('Additional Input'!$N$9+Projections!$A61),UniformTable,2),0))</f>
        <v/>
      </c>
      <c r="P61" s="822" t="str">
        <f ca="1">IF(A61&gt;'Additional Input'!$E$11,"",IF($O61=0,0,$F61/$O61))</f>
        <v/>
      </c>
      <c r="Q61" s="178" t="str">
        <f ca="1">IF(A61&gt;'Additional Input'!$E$11,"",IF(IF('Additional Input'!$D$44=TRUE,IF($O61=0,0,$F61/$O61),IF('Additional Input'!$F$45-'Additional Input'!$N$9&lt;=Projections!$A61,IF($F61*(1+$F$4)&lt;'Additional Input'!$D$45*IF('Additional Input'!$H$45=TRUE,(1+'Additional Input'!$D$13)^IF('Additional Input'!$K$45=TRUE,$A61,$A61-('Additional Input'!$F$45-'Additional Input'!$N$9)),1),$F61*(1+$F$4),'Additional Input'!$D$45*IF('Additional Input'!$H$45=TRUE,(1+'Additional Input'!$D$13)^IF('Additional Input'!$K$45=TRUE,$A61,$A61-('Additional Input'!$F$45-'Additional Input'!$N$9)),1)),0))&lt;$P61,$P61,IF('Additional Input'!$D$44=TRUE,IF($O61=0,0,$F61/$O61),IF('Additional Input'!$F$45-'Additional Input'!$N$9&lt;=Projections!$A61,IF($F61*(1+$F$4)&lt;'Additional Input'!$D$45*IF('Additional Input'!$H$45=TRUE,(1+'Additional Input'!$D$13)^IF('Additional Input'!$K$45=TRUE,$A61,$A61-('Additional Input'!$F$45-'Additional Input'!$N$9)),1),$F61*(1+$F$4),'Additional Input'!$D$45*IF('Additional Input'!$H$45=TRUE,(1+'Additional Input'!$D$13)^IF('Additional Input'!$K$45=TRUE,$A61,$A61-('Additional Input'!$F$45-'Additional Input'!$N$9)),1)),0)))+Adjustments!D61)</f>
        <v/>
      </c>
      <c r="R61" s="571" t="str">
        <f ca="1">IF(A61&gt;'Additional Input'!$E$11,"",-((N61+Q61)*'Additional Input'!$D$12)+Adjustments!E61)</f>
        <v/>
      </c>
      <c r="S61" s="571" t="str">
        <f ca="1">IF(A61&gt;'Additional Input'!$E$11,"",IF($A61&gt;='Additional Input'!$D$19,-'Additional Input'!$D$18*(1+IF('Additional Input'!$F$18=TRUE,'Additional Input'!$D$13,0))^Projections!A61,0)-TaxTables!D87+Adjustments!F61-VLOOKUP(A61,Gifts,6))</f>
        <v/>
      </c>
      <c r="T61" s="126" t="str">
        <f ca="1">IF(A61&gt;'Additional Input'!$E$11,"",N61+Q61+R61+S61)</f>
        <v/>
      </c>
      <c r="U61" s="367"/>
    </row>
    <row r="62" spans="1:21" ht="14.25" hidden="1" customHeight="1">
      <c r="A62" s="118">
        <f t="shared" si="0"/>
        <v>57</v>
      </c>
      <c r="B62" s="110" t="str">
        <f ca="1">IF(A62&gt;'Additional Input'!$E$11,"",IF('Additional Input'!$N$9="","",'Additional Input'!$N$9+Projections!A62)&amp;"/"&amp;IF('Additional Input'!$O$9="","",IF('Additional Input'!$O$9=0,"",'Additional Input'!$O$9+Projections!A62)))</f>
        <v/>
      </c>
      <c r="C62" s="122" t="str">
        <f ca="1">IF(A62&gt;'Additional Input'!$E$11,"",+C61+1)</f>
        <v/>
      </c>
      <c r="D62" s="159" t="str">
        <f ca="1">IF(A62&gt;'Additional Input'!$E$11,"",($D61*(1+'Additional Input'!$F$26))+$N61+$Q61+$R61+$S61+VLOOKUP(A61,Gifts,6)-VLOOKUP(A62,Gifts,6))</f>
        <v/>
      </c>
      <c r="E62" s="159" t="str">
        <f ca="1">IF(A62&gt;'Additional Input'!$E$11,"",E61*(1+'Additional Input'!$F$28))</f>
        <v/>
      </c>
      <c r="F62" s="159" t="str">
        <f ca="1">IF(A62&gt;'Additional Input'!$E$11,"",($F61*(1+'Additional Input'!$F$27))-$Q61+IF(('Additional Input'!$K$40)&gt;A61,'Additional Input'!$D$40*(1+IF('Additional Input'!$H$40=TRUE,'Additional Input'!$D$13,0))^A61,0)+IF(('Additional Input'!$K$40)&gt;A61,'Additional Input'!$F$40*(1+IF('Additional Input'!$H$40=TRUE,'Additional Input'!$D$13,0))^A61,0))</f>
        <v/>
      </c>
      <c r="G62" s="646" t="str">
        <f ca="1">IF(A62&gt;'Additional Input'!$E$11,"",-VLOOKUP(A62*12,Amortization,2))</f>
        <v/>
      </c>
      <c r="H62" s="159" t="str">
        <f ca="1">IF(A62&gt;'Additional Input'!$E$11,"",IF(A62&lt;=Calculator!$F$7,Calculator!$D$7,0)+Calculator!$D$8-IF(A62&gt;3,Calculator!$H$8,0))</f>
        <v/>
      </c>
      <c r="I62" s="159" t="str">
        <f ca="1">IF(A62&gt;'Additional Input'!$E$11,"",D62+E62+F62+G62+H62)</f>
        <v/>
      </c>
      <c r="J62" s="646" t="str">
        <f ca="1">IF(A62&gt;'Additional Input'!$E$11,"",VLOOKUP(A62,Gifts,9))</f>
        <v/>
      </c>
      <c r="K62" s="159" t="str">
        <f ca="1">IF(A62&gt;'Additional Input'!$E$11,"",IF(Calculator!$D$20=TRUE,Calculator!$I$20,0)+IF(A62&gt;3,Calculator!$H$8,0))</f>
        <v/>
      </c>
      <c r="L62" s="159" t="str">
        <f ca="1">IF(A62&gt;'Additional Input'!$E$11,"",J62+K62)</f>
        <v/>
      </c>
      <c r="M62" s="126" t="str">
        <f ca="1">IF(A62&gt;'Additional Input'!$E$11,"",(D62*'Additional Input'!$F$26)+(E62*'Additional Input'!$F$28)+(F62*'Additional Input'!$F$27))</f>
        <v/>
      </c>
      <c r="N62" s="126" t="str">
        <f ca="1">IF(A62&gt;'Additional Input'!$E$11,"",IF(('Additional Input'!$K$35)&gt;Projections!A62,'Additional Input'!$D$35*(1+IF('Additional Input'!$H$35=TRUE,'Additional Input'!$D$13,0))^Projections!A62,0)+IF(('Additional Input'!$K$36)&gt;Projections!A62,'Additional Input'!$D$36*(1+IF('Additional Input'!$H$36=TRUE,'Additional Input'!$D$13,0))^Projections!A62,0)-IF(('Additional Input'!$K$40)&gt;A62,'Additional Input'!$D$40*(1+IF('Additional Input'!$H$39=TRUE,'Additional Input'!$D$13,0))^A62,0)+IF(('Additional Input'!$F$37-'Additional Input'!$N$9)&lt;=Projections!A62,'Additional Input'!$D$37*(1+IF('Additional Input'!$H$37=TRUE,'Additional Input'!$D$13,0))^IF('Additional Input'!$K$37=TRUE,Projections!A62,Projections!A62-('Additional Input'!$F$37-'Additional Input'!$N$9)),0)+Adjustments!C62)</f>
        <v/>
      </c>
      <c r="O62" s="823" t="str">
        <f ca="1">IF(A62&gt;'Additional Input'!$E$11,"",IF(('Additional Input'!$N$9+Projections!$A62)&gt;=IF('Additional Input'!$K$44=TRUE,71,70),VLOOKUP(('Additional Input'!$N$9+Projections!$A62),UniformTable,2),0))</f>
        <v/>
      </c>
      <c r="P62" s="822" t="str">
        <f ca="1">IF(A62&gt;'Additional Input'!$E$11,"",IF($O62=0,0,$F62/$O62))</f>
        <v/>
      </c>
      <c r="Q62" s="178" t="str">
        <f ca="1">IF(A62&gt;'Additional Input'!$E$11,"",IF(IF('Additional Input'!$D$44=TRUE,IF($O62=0,0,$F62/$O62),IF('Additional Input'!$F$45-'Additional Input'!$N$9&lt;=Projections!$A62,IF($F62*(1+$F$4)&lt;'Additional Input'!$D$45*IF('Additional Input'!$H$45=TRUE,(1+'Additional Input'!$D$13)^IF('Additional Input'!$K$45=TRUE,$A62,$A62-('Additional Input'!$F$45-'Additional Input'!$N$9)),1),$F62*(1+$F$4),'Additional Input'!$D$45*IF('Additional Input'!$H$45=TRUE,(1+'Additional Input'!$D$13)^IF('Additional Input'!$K$45=TRUE,$A62,$A62-('Additional Input'!$F$45-'Additional Input'!$N$9)),1)),0))&lt;$P62,$P62,IF('Additional Input'!$D$44=TRUE,IF($O62=0,0,$F62/$O62),IF('Additional Input'!$F$45-'Additional Input'!$N$9&lt;=Projections!$A62,IF($F62*(1+$F$4)&lt;'Additional Input'!$D$45*IF('Additional Input'!$H$45=TRUE,(1+'Additional Input'!$D$13)^IF('Additional Input'!$K$45=TRUE,$A62,$A62-('Additional Input'!$F$45-'Additional Input'!$N$9)),1),$F62*(1+$F$4),'Additional Input'!$D$45*IF('Additional Input'!$H$45=TRUE,(1+'Additional Input'!$D$13)^IF('Additional Input'!$K$45=TRUE,$A62,$A62-('Additional Input'!$F$45-'Additional Input'!$N$9)),1)),0)))+Adjustments!D62)</f>
        <v/>
      </c>
      <c r="R62" s="571" t="str">
        <f ca="1">IF(A62&gt;'Additional Input'!$E$11,"",-((N62+Q62)*'Additional Input'!$D$12)+Adjustments!E62)</f>
        <v/>
      </c>
      <c r="S62" s="571" t="str">
        <f ca="1">IF(A62&gt;'Additional Input'!$E$11,"",IF($A62&gt;='Additional Input'!$D$19,-'Additional Input'!$D$18*(1+IF('Additional Input'!$F$18=TRUE,'Additional Input'!$D$13,0))^Projections!A62,0)-TaxTables!D88+Adjustments!F62-VLOOKUP(A62,Gifts,6))</f>
        <v/>
      </c>
      <c r="T62" s="126" t="str">
        <f ca="1">IF(A62&gt;'Additional Input'!$E$11,"",N62+Q62+R62+S62)</f>
        <v/>
      </c>
      <c r="U62" s="367"/>
    </row>
    <row r="63" spans="1:21" ht="14.25" hidden="1" customHeight="1">
      <c r="A63" s="118">
        <f t="shared" si="0"/>
        <v>58</v>
      </c>
      <c r="B63" s="110" t="str">
        <f ca="1">IF(A63&gt;'Additional Input'!$E$11,"",IF('Additional Input'!$N$9="","",'Additional Input'!$N$9+Projections!A63)&amp;"/"&amp;IF('Additional Input'!$O$9="","",IF('Additional Input'!$O$9=0,"",'Additional Input'!$O$9+Projections!A63)))</f>
        <v/>
      </c>
      <c r="C63" s="122" t="str">
        <f ca="1">IF(A63&gt;'Additional Input'!$E$11,"",+C62+1)</f>
        <v/>
      </c>
      <c r="D63" s="159" t="str">
        <f ca="1">IF(A63&gt;'Additional Input'!$E$11,"",($D62*(1+'Additional Input'!$F$26))+$N62+$Q62+$R62+$S62+VLOOKUP(A62,Gifts,6)-VLOOKUP(A63,Gifts,6))</f>
        <v/>
      </c>
      <c r="E63" s="159" t="str">
        <f ca="1">IF(A63&gt;'Additional Input'!$E$11,"",E62*(1+'Additional Input'!$F$28))</f>
        <v/>
      </c>
      <c r="F63" s="159" t="str">
        <f ca="1">IF(A63&gt;'Additional Input'!$E$11,"",($F62*(1+'Additional Input'!$F$27))-$Q62+IF(('Additional Input'!$K$40)&gt;A62,'Additional Input'!$D$40*(1+IF('Additional Input'!$H$40=TRUE,'Additional Input'!$D$13,0))^A62,0)+IF(('Additional Input'!$K$40)&gt;A62,'Additional Input'!$F$40*(1+IF('Additional Input'!$H$40=TRUE,'Additional Input'!$D$13,0))^A62,0))</f>
        <v/>
      </c>
      <c r="G63" s="646" t="str">
        <f ca="1">IF(A63&gt;'Additional Input'!$E$11,"",-VLOOKUP(A63*12,Amortization,2))</f>
        <v/>
      </c>
      <c r="H63" s="159" t="str">
        <f ca="1">IF(A63&gt;'Additional Input'!$E$11,"",IF(A63&lt;=Calculator!$F$7,Calculator!$D$7,0)+Calculator!$D$8-IF(A63&gt;3,Calculator!$H$8,0))</f>
        <v/>
      </c>
      <c r="I63" s="159" t="str">
        <f ca="1">IF(A63&gt;'Additional Input'!$E$11,"",D63+E63+F63+G63+H63)</f>
        <v/>
      </c>
      <c r="J63" s="646" t="str">
        <f ca="1">IF(A63&gt;'Additional Input'!$E$11,"",VLOOKUP(A63,Gifts,9))</f>
        <v/>
      </c>
      <c r="K63" s="159" t="str">
        <f ca="1">IF(A63&gt;'Additional Input'!$E$11,"",IF(Calculator!$D$20=TRUE,Calculator!$I$20,0)+IF(A63&gt;3,Calculator!$H$8,0))</f>
        <v/>
      </c>
      <c r="L63" s="159" t="str">
        <f ca="1">IF(A63&gt;'Additional Input'!$E$11,"",J63+K63)</f>
        <v/>
      </c>
      <c r="M63" s="126" t="str">
        <f ca="1">IF(A63&gt;'Additional Input'!$E$11,"",(D63*'Additional Input'!$F$26)+(E63*'Additional Input'!$F$28)+(F63*'Additional Input'!$F$27))</f>
        <v/>
      </c>
      <c r="N63" s="126" t="str">
        <f ca="1">IF(A63&gt;'Additional Input'!$E$11,"",IF(('Additional Input'!$K$35)&gt;Projections!A63,'Additional Input'!$D$35*(1+IF('Additional Input'!$H$35=TRUE,'Additional Input'!$D$13,0))^Projections!A63,0)+IF(('Additional Input'!$K$36)&gt;Projections!A63,'Additional Input'!$D$36*(1+IF('Additional Input'!$H$36=TRUE,'Additional Input'!$D$13,0))^Projections!A63,0)-IF(('Additional Input'!$K$40)&gt;A63,'Additional Input'!$D$40*(1+IF('Additional Input'!$H$39=TRUE,'Additional Input'!$D$13,0))^A63,0)+IF(('Additional Input'!$F$37-'Additional Input'!$N$9)&lt;=Projections!A63,'Additional Input'!$D$37*(1+IF('Additional Input'!$H$37=TRUE,'Additional Input'!$D$13,0))^IF('Additional Input'!$K$37=TRUE,Projections!A63,Projections!A63-('Additional Input'!$F$37-'Additional Input'!$N$9)),0)+Adjustments!C63)</f>
        <v/>
      </c>
      <c r="O63" s="823" t="str">
        <f ca="1">IF(A63&gt;'Additional Input'!$E$11,"",IF(('Additional Input'!$N$9+Projections!$A63)&gt;=IF('Additional Input'!$K$44=TRUE,71,70),VLOOKUP(('Additional Input'!$N$9+Projections!$A63),UniformTable,2),0))</f>
        <v/>
      </c>
      <c r="P63" s="822" t="str">
        <f ca="1">IF(A63&gt;'Additional Input'!$E$11,"",IF($O63=0,0,$F63/$O63))</f>
        <v/>
      </c>
      <c r="Q63" s="178" t="str">
        <f ca="1">IF(A63&gt;'Additional Input'!$E$11,"",IF(IF('Additional Input'!$D$44=TRUE,IF($O63=0,0,$F63/$O63),IF('Additional Input'!$F$45-'Additional Input'!$N$9&lt;=Projections!$A63,IF($F63*(1+$F$4)&lt;'Additional Input'!$D$45*IF('Additional Input'!$H$45=TRUE,(1+'Additional Input'!$D$13)^IF('Additional Input'!$K$45=TRUE,$A63,$A63-('Additional Input'!$F$45-'Additional Input'!$N$9)),1),$F63*(1+$F$4),'Additional Input'!$D$45*IF('Additional Input'!$H$45=TRUE,(1+'Additional Input'!$D$13)^IF('Additional Input'!$K$45=TRUE,$A63,$A63-('Additional Input'!$F$45-'Additional Input'!$N$9)),1)),0))&lt;$P63,$P63,IF('Additional Input'!$D$44=TRUE,IF($O63=0,0,$F63/$O63),IF('Additional Input'!$F$45-'Additional Input'!$N$9&lt;=Projections!$A63,IF($F63*(1+$F$4)&lt;'Additional Input'!$D$45*IF('Additional Input'!$H$45=TRUE,(1+'Additional Input'!$D$13)^IF('Additional Input'!$K$45=TRUE,$A63,$A63-('Additional Input'!$F$45-'Additional Input'!$N$9)),1),$F63*(1+$F$4),'Additional Input'!$D$45*IF('Additional Input'!$H$45=TRUE,(1+'Additional Input'!$D$13)^IF('Additional Input'!$K$45=TRUE,$A63,$A63-('Additional Input'!$F$45-'Additional Input'!$N$9)),1)),0)))+Adjustments!D63)</f>
        <v/>
      </c>
      <c r="R63" s="571" t="str">
        <f ca="1">IF(A63&gt;'Additional Input'!$E$11,"",-((N63+Q63)*'Additional Input'!$D$12)+Adjustments!E63)</f>
        <v/>
      </c>
      <c r="S63" s="571" t="str">
        <f ca="1">IF(A63&gt;'Additional Input'!$E$11,"",IF($A63&gt;='Additional Input'!$D$19,-'Additional Input'!$D$18*(1+IF('Additional Input'!$F$18=TRUE,'Additional Input'!$D$13,0))^Projections!A63,0)-TaxTables!D89+Adjustments!F63-VLOOKUP(A63,Gifts,6))</f>
        <v/>
      </c>
      <c r="T63" s="126" t="str">
        <f ca="1">IF(A63&gt;'Additional Input'!$E$11,"",N63+Q63+R63+S63)</f>
        <v/>
      </c>
      <c r="U63" s="367"/>
    </row>
    <row r="64" spans="1:21" ht="14.25" hidden="1" customHeight="1">
      <c r="A64" s="118">
        <f t="shared" si="0"/>
        <v>59</v>
      </c>
      <c r="B64" s="110" t="str">
        <f ca="1">IF(A64&gt;'Additional Input'!$E$11,"",IF('Additional Input'!$N$9="","",'Additional Input'!$N$9+Projections!A64)&amp;"/"&amp;IF('Additional Input'!$O$9="","",IF('Additional Input'!$O$9=0,"",'Additional Input'!$O$9+Projections!A64)))</f>
        <v/>
      </c>
      <c r="C64" s="122" t="str">
        <f ca="1">IF(A64&gt;'Additional Input'!$E$11,"",+C63+1)</f>
        <v/>
      </c>
      <c r="D64" s="159" t="str">
        <f ca="1">IF(A64&gt;'Additional Input'!$E$11,"",($D63*(1+'Additional Input'!$F$26))+$N63+$Q63+$R63+$S63+VLOOKUP(A63,Gifts,6)-VLOOKUP(A64,Gifts,6))</f>
        <v/>
      </c>
      <c r="E64" s="159" t="str">
        <f ca="1">IF(A64&gt;'Additional Input'!$E$11,"",E63*(1+'Additional Input'!$F$28))</f>
        <v/>
      </c>
      <c r="F64" s="159" t="str">
        <f ca="1">IF(A64&gt;'Additional Input'!$E$11,"",($F63*(1+'Additional Input'!$F$27))-$Q63+IF(('Additional Input'!$K$40)&gt;A63,'Additional Input'!$D$40*(1+IF('Additional Input'!$H$40=TRUE,'Additional Input'!$D$13,0))^A63,0)+IF(('Additional Input'!$K$40)&gt;A63,'Additional Input'!$F$40*(1+IF('Additional Input'!$H$40=TRUE,'Additional Input'!$D$13,0))^A63,0))</f>
        <v/>
      </c>
      <c r="G64" s="646" t="str">
        <f ca="1">IF(A64&gt;'Additional Input'!$E$11,"",-VLOOKUP(A64*12,Amortization,2))</f>
        <v/>
      </c>
      <c r="H64" s="159" t="str">
        <f ca="1">IF(A64&gt;'Additional Input'!$E$11,"",IF(A64&lt;=Calculator!$F$7,Calculator!$D$7,0)+Calculator!$D$8-IF(A64&gt;3,Calculator!$H$8,0))</f>
        <v/>
      </c>
      <c r="I64" s="159" t="str">
        <f ca="1">IF(A64&gt;'Additional Input'!$E$11,"",D64+E64+F64+G64+H64)</f>
        <v/>
      </c>
      <c r="J64" s="646" t="str">
        <f ca="1">IF(A64&gt;'Additional Input'!$E$11,"",VLOOKUP(A64,Gifts,9))</f>
        <v/>
      </c>
      <c r="K64" s="159" t="str">
        <f ca="1">IF(A64&gt;'Additional Input'!$E$11,"",IF(Calculator!$D$20=TRUE,Calculator!$I$20,0)+IF(A64&gt;3,Calculator!$H$8,0))</f>
        <v/>
      </c>
      <c r="L64" s="159" t="str">
        <f ca="1">IF(A64&gt;'Additional Input'!$E$11,"",J64+K64)</f>
        <v/>
      </c>
      <c r="M64" s="126" t="str">
        <f ca="1">IF(A64&gt;'Additional Input'!$E$11,"",(D64*'Additional Input'!$F$26)+(E64*'Additional Input'!$F$28)+(F64*'Additional Input'!$F$27))</f>
        <v/>
      </c>
      <c r="N64" s="126" t="str">
        <f ca="1">IF(A64&gt;'Additional Input'!$E$11,"",IF(('Additional Input'!$K$35)&gt;Projections!A64,'Additional Input'!$D$35*(1+IF('Additional Input'!$H$35=TRUE,'Additional Input'!$D$13,0))^Projections!A64,0)+IF(('Additional Input'!$K$36)&gt;Projections!A64,'Additional Input'!$D$36*(1+IF('Additional Input'!$H$36=TRUE,'Additional Input'!$D$13,0))^Projections!A64,0)-IF(('Additional Input'!$K$40)&gt;A64,'Additional Input'!$D$40*(1+IF('Additional Input'!$H$39=TRUE,'Additional Input'!$D$13,0))^A64,0)+IF(('Additional Input'!$F$37-'Additional Input'!$N$9)&lt;=Projections!A64,'Additional Input'!$D$37*(1+IF('Additional Input'!$H$37=TRUE,'Additional Input'!$D$13,0))^IF('Additional Input'!$K$37=TRUE,Projections!A64,Projections!A64-('Additional Input'!$F$37-'Additional Input'!$N$9)),0)+Adjustments!C64)</f>
        <v/>
      </c>
      <c r="O64" s="823" t="str">
        <f ca="1">IF(A64&gt;'Additional Input'!$E$11,"",IF(('Additional Input'!$N$9+Projections!$A64)&gt;=IF('Additional Input'!$K$44=TRUE,71,70),VLOOKUP(('Additional Input'!$N$9+Projections!$A64),UniformTable,2),0))</f>
        <v/>
      </c>
      <c r="P64" s="822" t="str">
        <f ca="1">IF(A64&gt;'Additional Input'!$E$11,"",IF($O64=0,0,$F64/$O64))</f>
        <v/>
      </c>
      <c r="Q64" s="178" t="str">
        <f ca="1">IF(A64&gt;'Additional Input'!$E$11,"",IF(IF('Additional Input'!$D$44=TRUE,IF($O64=0,0,$F64/$O64),IF('Additional Input'!$F$45-'Additional Input'!$N$9&lt;=Projections!$A64,IF($F64*(1+$F$4)&lt;'Additional Input'!$D$45*IF('Additional Input'!$H$45=TRUE,(1+'Additional Input'!$D$13)^IF('Additional Input'!$K$45=TRUE,$A64,$A64-('Additional Input'!$F$45-'Additional Input'!$N$9)),1),$F64*(1+$F$4),'Additional Input'!$D$45*IF('Additional Input'!$H$45=TRUE,(1+'Additional Input'!$D$13)^IF('Additional Input'!$K$45=TRUE,$A64,$A64-('Additional Input'!$F$45-'Additional Input'!$N$9)),1)),0))&lt;$P64,$P64,IF('Additional Input'!$D$44=TRUE,IF($O64=0,0,$F64/$O64),IF('Additional Input'!$F$45-'Additional Input'!$N$9&lt;=Projections!$A64,IF($F64*(1+$F$4)&lt;'Additional Input'!$D$45*IF('Additional Input'!$H$45=TRUE,(1+'Additional Input'!$D$13)^IF('Additional Input'!$K$45=TRUE,$A64,$A64-('Additional Input'!$F$45-'Additional Input'!$N$9)),1),$F64*(1+$F$4),'Additional Input'!$D$45*IF('Additional Input'!$H$45=TRUE,(1+'Additional Input'!$D$13)^IF('Additional Input'!$K$45=TRUE,$A64,$A64-('Additional Input'!$F$45-'Additional Input'!$N$9)),1)),0)))+Adjustments!D64)</f>
        <v/>
      </c>
      <c r="R64" s="571" t="str">
        <f ca="1">IF(A64&gt;'Additional Input'!$E$11,"",-((N64+Q64)*'Additional Input'!$D$12)+Adjustments!E64)</f>
        <v/>
      </c>
      <c r="S64" s="571" t="str">
        <f ca="1">IF(A64&gt;'Additional Input'!$E$11,"",IF($A64&gt;='Additional Input'!$D$19,-'Additional Input'!$D$18*(1+IF('Additional Input'!$F$18=TRUE,'Additional Input'!$D$13,0))^Projections!A64,0)-TaxTables!D90+Adjustments!F64-VLOOKUP(A64,Gifts,6))</f>
        <v/>
      </c>
      <c r="T64" s="126" t="str">
        <f ca="1">IF(A64&gt;'Additional Input'!$E$11,"",N64+Q64+R64+S64)</f>
        <v/>
      </c>
      <c r="U64" s="367"/>
    </row>
    <row r="65" spans="1:21" s="120" customFormat="1" ht="14.25" customHeight="1">
      <c r="A65" s="650">
        <f t="shared" si="0"/>
        <v>60</v>
      </c>
      <c r="B65" s="651" t="str">
        <f ca="1">IF(A65&gt;'Additional Input'!$E$11,"",IF('Additional Input'!$N$9="","",'Additional Input'!$N$9+Projections!A65)&amp;"/"&amp;IF('Additional Input'!$O$9="","",IF('Additional Input'!$O$9=0,"",'Additional Input'!$O$9+Projections!A65)))</f>
        <v/>
      </c>
      <c r="C65" s="650" t="str">
        <f ca="1">IF(A65&gt;'Additional Input'!$E$11,"",+C64+1)</f>
        <v/>
      </c>
      <c r="D65" s="652" t="str">
        <f ca="1">IF(A65&gt;'Additional Input'!$E$11,"",($D64*(1+'Additional Input'!$F$26))+$N64+$Q64+$R64+$S64+VLOOKUP(A64,Gifts,6)-VLOOKUP(A65,Gifts,6))</f>
        <v/>
      </c>
      <c r="E65" s="653" t="str">
        <f ca="1">IF(A65&gt;'Additional Input'!$E$11,"",E64*(1+'Additional Input'!$F$28))</f>
        <v/>
      </c>
      <c r="F65" s="653" t="str">
        <f ca="1">IF(A65&gt;'Additional Input'!$E$11,"",($F64*(1+'Additional Input'!$F$27))-$Q64+IF(('Additional Input'!$K$40)&gt;A64,'Additional Input'!$D$40*(1+IF('Additional Input'!$H$40=TRUE,'Additional Input'!$D$13,0))^A64,0)+IF(('Additional Input'!$K$40)&gt;A64,'Additional Input'!$F$40*(1+IF('Additional Input'!$H$40=TRUE,'Additional Input'!$D$13,0))^A64,0))</f>
        <v/>
      </c>
      <c r="G65" s="853" t="str">
        <f ca="1">IF(A65&gt;'Additional Input'!$E$11,"",-VLOOKUP(A65*12,Amortization,2))</f>
        <v/>
      </c>
      <c r="H65" s="652" t="str">
        <f ca="1">IF(A65&gt;'Additional Input'!$E$11,"",IF(A65&lt;=Calculator!$F$7,Calculator!$D$7,0)+Calculator!$D$8-IF(A65&gt;3,Calculator!$H$8,0))</f>
        <v/>
      </c>
      <c r="I65" s="652" t="str">
        <f ca="1">IF(A65&gt;'Additional Input'!$E$11,"",D65+E65+F65+G65+H65)</f>
        <v/>
      </c>
      <c r="J65" s="649" t="str">
        <f ca="1">IF(A65&gt;'Additional Input'!$E$11,"",VLOOKUP(A65,Gifts,9))</f>
        <v/>
      </c>
      <c r="K65" s="652" t="str">
        <f ca="1">IF(A65&gt;'Additional Input'!$E$11,"",IF(Calculator!$D$20=TRUE,Calculator!$I$20,0)+IF(A65&gt;3,Calculator!$H$8,0))</f>
        <v/>
      </c>
      <c r="L65" s="652" t="str">
        <f ca="1">IF(A65&gt;'Additional Input'!$E$11,"",J65+K65)</f>
        <v/>
      </c>
      <c r="M65" s="654" t="str">
        <f ca="1">IF(A65&gt;'Additional Input'!$E$11,"",(D65*'Additional Input'!$F$26)+(E65*'Additional Input'!$F$28)+(F65*'Additional Input'!$F$27))</f>
        <v/>
      </c>
      <c r="N65" s="655" t="str">
        <f ca="1">IF(A65&gt;'Additional Input'!$E$11,"",IF(('Additional Input'!$K$35)&gt;Projections!A65,'Additional Input'!$D$35*(1+IF('Additional Input'!$H$35=TRUE,'Additional Input'!$D$13,0))^Projections!A65,0)+IF(('Additional Input'!$K$36)&gt;Projections!A65,'Additional Input'!$D$36*(1+IF('Additional Input'!$H$36=TRUE,'Additional Input'!$D$13,0))^Projections!A65,0)-IF(('Additional Input'!$K$40)&gt;A65,'Additional Input'!$D$40*(1+IF('Additional Input'!$H$39=TRUE,'Additional Input'!$D$13,0))^A65,0)+IF(('Additional Input'!$F$37-'Additional Input'!$N$9)&lt;=Projections!A65,'Additional Input'!$D$37*(1+IF('Additional Input'!$H$37=TRUE,'Additional Input'!$D$13,0))^IF('Additional Input'!$K$37=TRUE,Projections!A65,Projections!A65-('Additional Input'!$F$37-'Additional Input'!$N$9)),0)+Adjustments!C65)</f>
        <v/>
      </c>
      <c r="O65" s="824" t="str">
        <f ca="1">IF(A65&gt;'Additional Input'!$E$11,"",IF(('Additional Input'!$N$9+Projections!$A65)&gt;=IF('Additional Input'!$K$44=TRUE,71,70),VLOOKUP(('Additional Input'!$N$9+Projections!$A65),UniformTable,2),0))</f>
        <v/>
      </c>
      <c r="P65" s="825" t="str">
        <f ca="1">IF(A65&gt;'Additional Input'!$E$11,"",IF($O65=0,0,$F65/$O65))</f>
        <v/>
      </c>
      <c r="Q65" s="655" t="str">
        <f ca="1">IF(A65&gt;'Additional Input'!$E$11,"",IF(IF('Additional Input'!$D$44=TRUE,IF($O65=0,0,$F65/$O65),IF('Additional Input'!$F$45-'Additional Input'!$N$9&lt;=Projections!$A65,IF($F65*(1+$F$4)&lt;'Additional Input'!$D$45*IF('Additional Input'!$H$45=TRUE,(1+'Additional Input'!$D$13)^IF('Additional Input'!$K$45=TRUE,$A65,$A65-('Additional Input'!$F$45-'Additional Input'!$N$9)),1),$F65*(1+$F$4),'Additional Input'!$D$45*IF('Additional Input'!$H$45=TRUE,(1+'Additional Input'!$D$13)^IF('Additional Input'!$K$45=TRUE,$A65,$A65-('Additional Input'!$F$45-'Additional Input'!$N$9)),1)),0))&lt;$P65,$P65,IF('Additional Input'!$D$44=TRUE,IF($O65=0,0,$F65/$O65),IF('Additional Input'!$F$45-'Additional Input'!$N$9&lt;=Projections!$A65,IF($F65*(1+$F$4)&lt;'Additional Input'!$D$45*IF('Additional Input'!$H$45=TRUE,(1+'Additional Input'!$D$13)^IF('Additional Input'!$K$45=TRUE,$A65,$A65-('Additional Input'!$F$45-'Additional Input'!$N$9)),1),$F65*(1+$F$4),'Additional Input'!$D$45*IF('Additional Input'!$H$45=TRUE,(1+'Additional Input'!$D$13)^IF('Additional Input'!$K$45=TRUE,$A65,$A65-('Additional Input'!$F$45-'Additional Input'!$N$9)),1)),0)))+Adjustments!D65)</f>
        <v/>
      </c>
      <c r="R65" s="656" t="str">
        <f ca="1">IF(A65&gt;'Additional Input'!$E$11,"",-((N65+Q65)*'Additional Input'!$D$12)+Adjustments!E65)</f>
        <v/>
      </c>
      <c r="S65" s="656" t="str">
        <f ca="1">IF(A65&gt;'Additional Input'!$E$11,"",IF($A65&gt;='Additional Input'!$D$19,-'Additional Input'!$D$18*(1+IF('Additional Input'!$F$18=TRUE,'Additional Input'!$D$13,0))^Projections!A65,0)-TaxTables!D91+Adjustments!F65-VLOOKUP(A65,Gifts,6))</f>
        <v/>
      </c>
      <c r="T65" s="654" t="str">
        <f ca="1">IF(A65&gt;'Additional Input'!$E$11,"",N65+Q65+R65+S65)</f>
        <v/>
      </c>
      <c r="U65" s="637"/>
    </row>
    <row r="66" spans="1:21" ht="15" customHeight="1">
      <c r="A66" s="1069"/>
      <c r="B66" s="1069"/>
      <c r="C66" s="1069"/>
      <c r="D66" s="1069"/>
      <c r="E66" s="370"/>
      <c r="F66" s="370"/>
      <c r="G66" s="179"/>
      <c r="H66" s="179"/>
      <c r="I66" s="179"/>
      <c r="K66" s="179"/>
      <c r="L66" s="179"/>
      <c r="M66" s="370" t="s">
        <v>366</v>
      </c>
      <c r="N66" s="183">
        <f t="shared" ref="N66" ca="1" si="1">SUM(N5:N65)</f>
        <v>0</v>
      </c>
      <c r="O66" s="369"/>
      <c r="P66" s="183">
        <f t="shared" ref="P66:S66" ca="1" si="2">SUM(P5:P65)</f>
        <v>0</v>
      </c>
      <c r="Q66" s="183">
        <f t="shared" ca="1" si="2"/>
        <v>0</v>
      </c>
      <c r="R66" s="572">
        <f t="shared" ca="1" si="2"/>
        <v>0</v>
      </c>
      <c r="S66" s="572">
        <f t="shared" ca="1" si="2"/>
        <v>-3468000</v>
      </c>
      <c r="T66" s="180"/>
      <c r="U66" s="368"/>
    </row>
    <row r="67" spans="1:21" ht="15.75" thickBot="1"/>
    <row r="68" spans="1:21" ht="27" thickBot="1">
      <c r="A68" s="1075"/>
      <c r="B68" s="1076"/>
      <c r="C68" s="1077"/>
      <c r="D68" s="1024" t="s">
        <v>447</v>
      </c>
      <c r="E68" s="1025"/>
      <c r="F68" s="1072" t="s">
        <v>404</v>
      </c>
      <c r="G68" s="1073"/>
      <c r="H68" s="1073"/>
      <c r="I68" s="1073"/>
      <c r="J68" s="1073"/>
      <c r="K68" s="1074"/>
      <c r="L68" s="658"/>
      <c r="M68" s="1078" t="s">
        <v>447</v>
      </c>
      <c r="N68" s="1079"/>
      <c r="O68" s="1072" t="s">
        <v>405</v>
      </c>
      <c r="P68" s="1073"/>
      <c r="Q68" s="1073"/>
      <c r="R68" s="1073"/>
      <c r="S68" s="1073"/>
      <c r="T68" s="1074"/>
    </row>
    <row r="69" spans="1:21">
      <c r="A69" s="1071" t="s">
        <v>299</v>
      </c>
      <c r="B69" s="1071"/>
      <c r="C69" s="1071"/>
      <c r="D69" s="1071"/>
      <c r="E69" s="1071"/>
      <c r="F69" s="1071"/>
      <c r="G69" s="1071"/>
      <c r="H69" s="1071"/>
      <c r="I69" s="1071"/>
      <c r="J69" s="1071"/>
      <c r="K69" s="1071"/>
      <c r="L69" s="1071"/>
      <c r="M69" s="1071" t="s">
        <v>365</v>
      </c>
      <c r="N69" s="1071"/>
      <c r="O69" s="1071"/>
      <c r="P69" s="1071"/>
      <c r="Q69" s="1071"/>
      <c r="R69" s="1071"/>
      <c r="S69" s="1071"/>
      <c r="T69" s="1071"/>
    </row>
    <row r="70" spans="1:21" ht="24">
      <c r="A70" s="387" t="s">
        <v>6</v>
      </c>
      <c r="B70" s="387" t="s">
        <v>234</v>
      </c>
      <c r="C70" s="387" t="s">
        <v>2</v>
      </c>
      <c r="D70" s="387" t="s">
        <v>293</v>
      </c>
      <c r="E70" s="387" t="str">
        <f>'Additional Input'!$A$28</f>
        <v>Fixed Assets</v>
      </c>
      <c r="F70" s="387" t="str">
        <f>'Additional Input'!$A$27</f>
        <v>Qualified Assets</v>
      </c>
      <c r="G70" s="387" t="s">
        <v>240</v>
      </c>
      <c r="H70" s="387" t="s">
        <v>443</v>
      </c>
      <c r="I70" s="387" t="s">
        <v>427</v>
      </c>
      <c r="J70" s="644" t="s">
        <v>403</v>
      </c>
      <c r="K70" s="557" t="s">
        <v>461</v>
      </c>
      <c r="L70" s="557" t="s">
        <v>433</v>
      </c>
      <c r="M70" s="387" t="s">
        <v>228</v>
      </c>
      <c r="N70" s="387" t="s">
        <v>274</v>
      </c>
      <c r="O70" s="391" t="s">
        <v>334</v>
      </c>
      <c r="P70" s="392" t="s">
        <v>236</v>
      </c>
      <c r="Q70" s="387" t="s">
        <v>287</v>
      </c>
      <c r="R70" s="387" t="s">
        <v>232</v>
      </c>
      <c r="S70" s="387" t="s">
        <v>292</v>
      </c>
      <c r="T70" s="387" t="s">
        <v>239</v>
      </c>
    </row>
    <row r="71" spans="1:21">
      <c r="A71" s="160"/>
      <c r="B71" s="160"/>
      <c r="C71" s="160"/>
      <c r="D71" s="161">
        <f>'Additional Input'!$F$26</f>
        <v>0.04</v>
      </c>
      <c r="E71" s="161">
        <f>'Additional Input'!$F$28</f>
        <v>0.03</v>
      </c>
      <c r="F71" s="161">
        <f>'Additional Input'!$F$27</f>
        <v>0.06</v>
      </c>
      <c r="G71" s="161">
        <f>'Additional Input'!F98</f>
        <v>0</v>
      </c>
      <c r="H71" s="161" t="s">
        <v>442</v>
      </c>
      <c r="I71" s="162"/>
      <c r="J71" s="645" t="str">
        <f>'Additional Input'!$F$26*100&amp;"%"</f>
        <v>4%</v>
      </c>
      <c r="K71" s="162"/>
      <c r="L71" s="162"/>
      <c r="M71" s="388">
        <f ca="1">IF(I72=0,0,M72/(I72-G72))</f>
        <v>0.04</v>
      </c>
      <c r="N71" s="1070" t="s">
        <v>335</v>
      </c>
      <c r="O71" s="1070"/>
      <c r="P71" s="1070"/>
      <c r="Q71" s="1070"/>
      <c r="R71" s="389">
        <f>'Additional Input'!D81</f>
        <v>0</v>
      </c>
      <c r="S71" s="390">
        <f>IF('Additional Input'!F87=TRUE,'Additional Input'!D82,0)</f>
        <v>0</v>
      </c>
      <c r="T71" s="163"/>
    </row>
    <row r="72" spans="1:21">
      <c r="A72" s="122">
        <v>0</v>
      </c>
      <c r="B72" s="158" t="str">
        <f ca="1">'Additional Input'!$N$9&amp;"/"&amp;IF('Additional Input'!$O$9="","",IF('Additional Input'!$O$9=0,"",'Additional Input'!$O$9))</f>
        <v>60/60</v>
      </c>
      <c r="C72" s="566">
        <f>'Additional Input'!N82</f>
        <v>0</v>
      </c>
      <c r="D72" s="159">
        <f ca="1">'Additional Input'!$D$26-VLOOKUP(A72,Gifts,6)</f>
        <v>14916000</v>
      </c>
      <c r="E72" s="159">
        <f>'Additional Input'!$D$28</f>
        <v>0</v>
      </c>
      <c r="F72" s="159">
        <f>'Additional Input'!$D$27</f>
        <v>0</v>
      </c>
      <c r="G72" s="646">
        <f>-'Additional Input'!$D$29</f>
        <v>0</v>
      </c>
      <c r="H72" s="159">
        <f ca="1">IF(A72&gt;'Additional Input'!$E$11,"",IF(A72&lt;=Calculator!$F$7,Calculator!$D$7,0)+Calculator!$D$8-IF(A72&gt;3,Calculator!$H$8,0))</f>
        <v>0</v>
      </c>
      <c r="I72" s="159">
        <f ca="1">D72+E72+F72+G72+H72</f>
        <v>14916000</v>
      </c>
      <c r="J72" s="646">
        <f ca="1">IF(A72&gt;'Additional Input'!$E$11,"",VLOOKUP(A72,Gifts,11))</f>
        <v>84000</v>
      </c>
      <c r="K72" s="159">
        <f ca="1">IF(A72&gt;'Additional Input'!$E$11,"",IF(A72&gt;3,Calculator!$H$8,0))</f>
        <v>0</v>
      </c>
      <c r="L72" s="159">
        <f ca="1">IF(A72&gt;'Additional Input'!$E$11,"",J72+K72)</f>
        <v>84000</v>
      </c>
      <c r="M72" s="126">
        <f ca="1">(D72*'Additional Input'!$F$26)+(E72*'Additional Input'!$F$28)+(F72*'Additional Input'!$F$27)</f>
        <v>596640</v>
      </c>
      <c r="N72" s="126">
        <f ca="1">IF(('Additional Input'!$K$35)&gt;Projections!A72,'Additional Input'!$D$35*(1+IF('Additional Input'!$H$35=TRUE,'Additional Input'!$D$13,0))^Projections!A72,0)+IF(('Additional Input'!$K$36)&gt;Projections!A72,'Additional Input'!$D$36*(1+IF('Additional Input'!$H$36=TRUE,'Additional Input'!$D$13,0))^Projections!A72,0)-IF(('Additional Input'!$K$40)&gt;A72,'Additional Input'!$D$40*(1+IF('Additional Input'!$H$39=TRUE,'Additional Input'!$D$13,0))^A72,0)+IF(('Additional Input'!$F$37-'Additional Input'!$N$9)&lt;=Projections!A72,'Additional Input'!$D$37*(1+IF('Additional Input'!$H$37=TRUE,'Additional Input'!$D$13,0))^IF('Additional Input'!$K$37=TRUE,Projections!A72,Projections!A72-('Additional Input'!$F$37-'Additional Input'!$N$9)),0)+Adjustments!C72</f>
        <v>0</v>
      </c>
      <c r="O72" s="823">
        <f ca="1">IF(('Additional Input'!$N$9+Projections!$A72)&gt;=IF('Additional Input'!$K$44=TRUE,71,70),VLOOKUP(('Additional Input'!$N$9+Projections!$A72),UniformTable,2),0)</f>
        <v>0</v>
      </c>
      <c r="P72" s="822">
        <f ca="1">IF($O72=0,0,$F72/$O72)</f>
        <v>0</v>
      </c>
      <c r="Q72" s="126">
        <f ca="1">IF(IF('Additional Input'!$D$44=TRUE,IF($O72=0,0,$F72/$O72),IF('Additional Input'!$F$45-'Additional Input'!$N$9&lt;=Projections!$A72,IF($F72*(1+$F$4)&lt;'Additional Input'!$D$45*IF('Additional Input'!$H$45=TRUE,(1+'Additional Input'!$D$13)^$A72,1),$F72*(1+$F$4),'Additional Input'!$D$45*IF('Additional Input'!$H$45=TRUE,(1+'Additional Input'!$D$13)^$A72,1)),0))&lt;$P72,$P72,IF('Additional Input'!$D$44=TRUE,IF($O72=0,0,$F72/$O72),IF('Additional Input'!$F$45-'Additional Input'!$N$9&lt;=Projections!$A72,IF($F72*(1+$F$4)&lt;'Additional Input'!$D$45*IF('Additional Input'!$H$45=TRUE,(1+'Additional Input'!$D$13)^$A72,1),$F72*(1+$F$4),'Additional Input'!$D$45*IF('Additional Input'!$H$45=TRUE,(1+'Additional Input'!$D$13)^$A72,1)),0)))+Adjustments!D72</f>
        <v>0</v>
      </c>
      <c r="R72" s="571">
        <f ca="1">-((N72+Q72)*'Additional Input'!$D$12)+Adjustments!E72</f>
        <v>0</v>
      </c>
      <c r="S72" s="571">
        <f ca="1">IF($A72&gt;='Additional Input'!$D$19,-'Additional Input'!$D$18*(1+IF('Additional Input'!$F$18=TRUE,'Additional Input'!$D$13,0))^Projections!A72,0)-TaxTables!D31+Adjustments!F72-VLOOKUP(A72,Gifts,6)</f>
        <v>-84000</v>
      </c>
      <c r="T72" s="126">
        <f ca="1">N72+Q72+R72+S72</f>
        <v>-84000</v>
      </c>
    </row>
    <row r="73" spans="1:21">
      <c r="A73" s="122">
        <f t="shared" ref="A73:A132" si="3">+A72+1</f>
        <v>1</v>
      </c>
      <c r="B73" s="110" t="str">
        <f ca="1">IF(A73&gt;'Additional Input'!$E$11,"",IF('Additional Input'!$N$9="","",'Additional Input'!$N$9+Projections!A73)&amp;"/"&amp;IF('Additional Input'!$O$9="","",IF('Additional Input'!$O$9=0,"",'Additional Input'!$O$9+Projections!A73)))</f>
        <v>61/61</v>
      </c>
      <c r="C73" s="122">
        <f ca="1">IF(A73&gt;'Additional Input'!$E$11,"",+C72+1)</f>
        <v>1</v>
      </c>
      <c r="D73" s="159">
        <f ca="1">IF(A73&gt;'Additional Input'!$E$11,"",($D72*(1+'Additional Input'!$F$26))+$N72+$Q72+$R72+$S72+VLOOKUP(A72,Gifts,6)-VLOOKUP(A73,Gifts,6))</f>
        <v>15428640</v>
      </c>
      <c r="E73" s="159">
        <f ca="1">IF(A73&gt;'Additional Input'!$E$11,"",E72*(1+'Additional Input'!$F$28))</f>
        <v>0</v>
      </c>
      <c r="F73" s="159">
        <f ca="1">IF(A73&gt;'Additional Input'!$E$11,"",($F72*(1+'Additional Input'!$F$27))-$Q72+IF(('Additional Input'!$K$40)&gt;A72,'Additional Input'!$D$40*(1+IF('Additional Input'!$H$40=TRUE,'Additional Input'!$D$13,0))^A72,0)+IF(('Additional Input'!$K$40)&gt;A72,'Additional Input'!$F$40*(1+IF('Additional Input'!$H$40=TRUE,'Additional Input'!$D$13,0))^A72,0))</f>
        <v>0</v>
      </c>
      <c r="G73" s="646">
        <f ca="1">IF(A73&gt;'Additional Input'!$E$11,"",-VLOOKUP(A73*12,Amortization,2))</f>
        <v>0</v>
      </c>
      <c r="H73" s="159">
        <f ca="1">IF(A73&gt;'Additional Input'!$E$11,"",IF(A73&lt;=Calculator!$F$7,Calculator!$D$7,0)+Calculator!$D$8-IF(A73&gt;3,Calculator!$H$8,0))</f>
        <v>0</v>
      </c>
      <c r="I73" s="159">
        <f ca="1">IF(A73&gt;'Additional Input'!$E$11,"",D73+E73+F73+G73+H73)</f>
        <v>15428640</v>
      </c>
      <c r="J73" s="646">
        <f ca="1">IF(A73&gt;'Additional Input'!$E$11,"",VLOOKUP(A73,Gifts,11))</f>
        <v>171360</v>
      </c>
      <c r="K73" s="159">
        <f ca="1">IF(A73&gt;'Additional Input'!$E$11,"",IF(A73&gt;3,Calculator!$H$8,0))</f>
        <v>0</v>
      </c>
      <c r="L73" s="159">
        <f ca="1">IF(A73&gt;'Additional Input'!$E$11,"",J73+K73)</f>
        <v>171360</v>
      </c>
      <c r="M73" s="126">
        <f ca="1">IF(A73&gt;'Additional Input'!$E$11,"",(D73*'Additional Input'!$F$26)+(E73*'Additional Input'!$F$28)+(F73*'Additional Input'!$F$27))</f>
        <v>617145.59999999998</v>
      </c>
      <c r="N73" s="126">
        <f ca="1">IF(A73&gt;'Additional Input'!$E$11,"",IF(('Additional Input'!$K$35)&gt;Projections!A73,'Additional Input'!$D$35*(1+IF('Additional Input'!$H$35=TRUE,'Additional Input'!$D$13,0))^Projections!A73,0)+IF(('Additional Input'!$K$36)&gt;Projections!A73,'Additional Input'!$D$36*(1+IF('Additional Input'!$H$36=TRUE,'Additional Input'!$D$13,0))^Projections!A73,0)-IF(('Additional Input'!$K$40)&gt;A73,'Additional Input'!$D$40*(1+IF('Additional Input'!$H$39=TRUE,'Additional Input'!$D$13,0))^A73,0)+IF(('Additional Input'!$F$37-'Additional Input'!$N$9)&lt;=Projections!A73,'Additional Input'!$D$37*(1+IF('Additional Input'!$H$37=TRUE,'Additional Input'!$D$13,0))^IF('Additional Input'!$K$37=TRUE,Projections!A73,Projections!A73-('Additional Input'!$F$37-'Additional Input'!$N$9)),0)+Adjustments!C73)</f>
        <v>0</v>
      </c>
      <c r="O73" s="823">
        <f ca="1">IF(A73&gt;'Additional Input'!$E$11,"",IF(('Additional Input'!$N$9+Projections!$A73)&gt;=IF('Additional Input'!$K$44=TRUE,71,70),VLOOKUP(('Additional Input'!$N$9+Projections!$A73),UniformTable,2),0))</f>
        <v>0</v>
      </c>
      <c r="P73" s="822">
        <f ca="1">IF(A73&gt;'Additional Input'!$E$11,"",IF($O73=0,0,$F73/$O73))</f>
        <v>0</v>
      </c>
      <c r="Q73" s="178">
        <f ca="1">IF(A73&gt;'Additional Input'!$E$11,"",IF(IF('Additional Input'!$D$44=TRUE,IF($O73=0,0,$F73/$O73),IF('Additional Input'!$F$45-'Additional Input'!$N$9&lt;=Projections!$A73,IF($F73*(1+$F$4)&lt;'Additional Input'!$D$45*IF('Additional Input'!$H$45=TRUE,(1+'Additional Input'!$D$13)^IF('Additional Input'!$K$45=TRUE,$A73,$A73-('Additional Input'!$F$45-'Additional Input'!$N$9)),1),$F73*(1+$F$4),'Additional Input'!$D$45*IF('Additional Input'!$H$45=TRUE,(1+'Additional Input'!$D$13)^IF('Additional Input'!$K$45=TRUE,$A73,$A73-('Additional Input'!$F$45-'Additional Input'!$N$9)),1)),0))&lt;$P73,$P73,IF('Additional Input'!$D$44=TRUE,IF($O73=0,0,$F73/$O73),IF('Additional Input'!$F$45-'Additional Input'!$N$9&lt;=Projections!$A73,IF($F73*(1+$F$4)&lt;'Additional Input'!$D$45*IF('Additional Input'!$H$45=TRUE,(1+'Additional Input'!$D$13)^IF('Additional Input'!$K$45=TRUE,$A73,$A73-('Additional Input'!$F$45-'Additional Input'!$N$9)),1),$F73*(1+$F$4),'Additional Input'!$D$45*IF('Additional Input'!$H$45=TRUE,(1+'Additional Input'!$D$13)^IF('Additional Input'!$K$45=TRUE,$A73,$A73-('Additional Input'!$F$45-'Additional Input'!$N$9)),1)),0)))+Adjustments!D73)</f>
        <v>0</v>
      </c>
      <c r="R73" s="571">
        <f ca="1">IF(A73&gt;'Additional Input'!$E$11,"",-((N73+Q73)*'Additional Input'!$D$12)+Adjustments!E73)</f>
        <v>0</v>
      </c>
      <c r="S73" s="571">
        <f ca="1">IF(A73&gt;'Additional Input'!$E$11,"",IF($A73&gt;='Additional Input'!$D$19,-'Additional Input'!$D$18*(1+IF('Additional Input'!$F$18=TRUE,'Additional Input'!$D$13,0))^Projections!A73,0)-TaxTables!D32+Adjustments!F73-VLOOKUP(A73,Gifts,6))</f>
        <v>-84000</v>
      </c>
      <c r="T73" s="126">
        <f ca="1">IF(A73&gt;'Additional Input'!$E$11,"",N73+Q73+R73+S73)</f>
        <v>-84000</v>
      </c>
    </row>
    <row r="74" spans="1:21">
      <c r="A74" s="122">
        <f t="shared" si="3"/>
        <v>2</v>
      </c>
      <c r="B74" s="110" t="str">
        <f ca="1">IF(A74&gt;'Additional Input'!$E$11,"",IF('Additional Input'!$N$9="","",'Additional Input'!$N$9+Projections!A74)&amp;"/"&amp;IF('Additional Input'!$O$9="","",IF('Additional Input'!$O$9=0,"",'Additional Input'!$O$9+Projections!A74)))</f>
        <v>62/62</v>
      </c>
      <c r="C74" s="122">
        <f ca="1">IF(A74&gt;'Additional Input'!$E$11,"",+C73+1)</f>
        <v>2</v>
      </c>
      <c r="D74" s="159">
        <f ca="1">IF(A74&gt;'Additional Input'!$E$11,"",($D73*(1+'Additional Input'!$F$26))+$N73+$Q73+$R73+$S73+VLOOKUP(A73,Gifts,6)-VLOOKUP(A74,Gifts,6))</f>
        <v>15961785.6</v>
      </c>
      <c r="E74" s="159">
        <f ca="1">IF(A74&gt;'Additional Input'!$E$11,"",E73*(1+'Additional Input'!$F$28))</f>
        <v>0</v>
      </c>
      <c r="F74" s="159">
        <f ca="1">IF(A74&gt;'Additional Input'!$E$11,"",($F73*(1+'Additional Input'!$F$27))-$Q73+IF(('Additional Input'!$K$40)&gt;A73,'Additional Input'!$D$40*(1+IF('Additional Input'!$H$40=TRUE,'Additional Input'!$D$13,0))^A73,0)+IF(('Additional Input'!$K$40)&gt;A73,'Additional Input'!$F$40*(1+IF('Additional Input'!$H$40=TRUE,'Additional Input'!$D$13,0))^A73,0))</f>
        <v>0</v>
      </c>
      <c r="G74" s="646">
        <f ca="1">IF(A74&gt;'Additional Input'!$E$11,"",-VLOOKUP(A74*12,Amortization,2))</f>
        <v>0</v>
      </c>
      <c r="H74" s="159">
        <f ca="1">IF(A74&gt;'Additional Input'!$E$11,"",IF(A74&lt;=Calculator!$F$7,Calculator!$D$7,0)+Calculator!$D$8-IF(A74&gt;3,Calculator!$H$8,0))</f>
        <v>0</v>
      </c>
      <c r="I74" s="159">
        <f ca="1">IF(A74&gt;'Additional Input'!$E$11,"",D74+E74+F74+G74+H74)</f>
        <v>15961785.6</v>
      </c>
      <c r="J74" s="646">
        <f ca="1">IF(A74&gt;'Additional Input'!$E$11,"",VLOOKUP(A74,Gifts,11))</f>
        <v>262214.40000000002</v>
      </c>
      <c r="K74" s="159">
        <f ca="1">IF(A74&gt;'Additional Input'!$E$11,"",IF(A74&gt;3,Calculator!$H$8,0))</f>
        <v>0</v>
      </c>
      <c r="L74" s="159">
        <f ca="1">IF(A74&gt;'Additional Input'!$E$11,"",J74+K74)</f>
        <v>262214.40000000002</v>
      </c>
      <c r="M74" s="126">
        <f ca="1">IF(A74&gt;'Additional Input'!$E$11,"",(D74*'Additional Input'!$F$26)+(E74*'Additional Input'!$F$28)+(F74*'Additional Input'!$F$27))</f>
        <v>638471.424</v>
      </c>
      <c r="N74" s="126">
        <f ca="1">IF(A74&gt;'Additional Input'!$E$11,"",IF(('Additional Input'!$K$35)&gt;Projections!A74,'Additional Input'!$D$35*(1+IF('Additional Input'!$H$35=TRUE,'Additional Input'!$D$13,0))^Projections!A74,0)+IF(('Additional Input'!$K$36)&gt;Projections!A74,'Additional Input'!$D$36*(1+IF('Additional Input'!$H$36=TRUE,'Additional Input'!$D$13,0))^Projections!A74,0)-IF(('Additional Input'!$K$40)&gt;A74,'Additional Input'!$D$40*(1+IF('Additional Input'!$H$39=TRUE,'Additional Input'!$D$13,0))^A74,0)+IF(('Additional Input'!$F$37-'Additional Input'!$N$9)&lt;=Projections!A74,'Additional Input'!$D$37*(1+IF('Additional Input'!$H$37=TRUE,'Additional Input'!$D$13,0))^IF('Additional Input'!$K$37=TRUE,Projections!A74,Projections!A74-('Additional Input'!$F$37-'Additional Input'!$N$9)),0)+Adjustments!C74)</f>
        <v>0</v>
      </c>
      <c r="O74" s="823">
        <f ca="1">IF(A74&gt;'Additional Input'!$E$11,"",IF(('Additional Input'!$N$9+Projections!$A74)&gt;=IF('Additional Input'!$K$44=TRUE,71,70),VLOOKUP(('Additional Input'!$N$9+Projections!$A74),UniformTable,2),0))</f>
        <v>0</v>
      </c>
      <c r="P74" s="822">
        <f ca="1">IF(A74&gt;'Additional Input'!$E$11,"",IF($O74=0,0,$F74/$O74))</f>
        <v>0</v>
      </c>
      <c r="Q74" s="178">
        <f ca="1">IF(A74&gt;'Additional Input'!$E$11,"",IF(IF('Additional Input'!$D$44=TRUE,IF($O74=0,0,$F74/$O74),IF('Additional Input'!$F$45-'Additional Input'!$N$9&lt;=Projections!$A74,IF($F74*(1+$F$4)&lt;'Additional Input'!$D$45*IF('Additional Input'!$H$45=TRUE,(1+'Additional Input'!$D$13)^IF('Additional Input'!$K$45=TRUE,$A74,$A74-('Additional Input'!$F$45-'Additional Input'!$N$9)),1),$F74*(1+$F$4),'Additional Input'!$D$45*IF('Additional Input'!$H$45=TRUE,(1+'Additional Input'!$D$13)^IF('Additional Input'!$K$45=TRUE,$A74,$A74-('Additional Input'!$F$45-'Additional Input'!$N$9)),1)),0))&lt;$P74,$P74,IF('Additional Input'!$D$44=TRUE,IF($O74=0,0,$F74/$O74),IF('Additional Input'!$F$45-'Additional Input'!$N$9&lt;=Projections!$A74,IF($F74*(1+$F$4)&lt;'Additional Input'!$D$45*IF('Additional Input'!$H$45=TRUE,(1+'Additional Input'!$D$13)^IF('Additional Input'!$K$45=TRUE,$A74,$A74-('Additional Input'!$F$45-'Additional Input'!$N$9)),1),$F74*(1+$F$4),'Additional Input'!$D$45*IF('Additional Input'!$H$45=TRUE,(1+'Additional Input'!$D$13)^IF('Additional Input'!$K$45=TRUE,$A74,$A74-('Additional Input'!$F$45-'Additional Input'!$N$9)),1)),0)))+Adjustments!D74)</f>
        <v>0</v>
      </c>
      <c r="R74" s="571">
        <f ca="1">IF(A74&gt;'Additional Input'!$E$11,"",-((N74+Q74)*'Additional Input'!$D$12)+Adjustments!E74)</f>
        <v>0</v>
      </c>
      <c r="S74" s="571">
        <f ca="1">IF(A74&gt;'Additional Input'!$E$11,"",IF($A74&gt;='Additional Input'!$D$19,-'Additional Input'!$D$18*(1+IF('Additional Input'!$F$18=TRUE,'Additional Input'!$D$13,0))^Projections!A74,0)-TaxTables!D33+Adjustments!F74-VLOOKUP(A74,Gifts,6))</f>
        <v>-84000</v>
      </c>
      <c r="T74" s="126">
        <f ca="1">IF(A74&gt;'Additional Input'!$E$11,"",N74+Q74+R74+S74)</f>
        <v>-84000</v>
      </c>
    </row>
    <row r="75" spans="1:21">
      <c r="A75" s="122">
        <f t="shared" si="3"/>
        <v>3</v>
      </c>
      <c r="B75" s="110" t="str">
        <f ca="1">IF(A75&gt;'Additional Input'!$E$11,"",IF('Additional Input'!$N$9="","",'Additional Input'!$N$9+Projections!A75)&amp;"/"&amp;IF('Additional Input'!$O$9="","",IF('Additional Input'!$O$9=0,"",'Additional Input'!$O$9+Projections!A75)))</f>
        <v>63/63</v>
      </c>
      <c r="C75" s="122">
        <f ca="1">IF(A75&gt;'Additional Input'!$E$11,"",+C74+1)</f>
        <v>3</v>
      </c>
      <c r="D75" s="159">
        <f ca="1">IF(A75&gt;'Additional Input'!$E$11,"",($D74*(1+'Additional Input'!$F$26))+$N74+$Q74+$R74+$S74+VLOOKUP(A74,Gifts,6)-VLOOKUP(A75,Gifts,6))</f>
        <v>16516257.024</v>
      </c>
      <c r="E75" s="159">
        <f ca="1">IF(A75&gt;'Additional Input'!$E$11,"",E74*(1+'Additional Input'!$F$28))</f>
        <v>0</v>
      </c>
      <c r="F75" s="159">
        <f ca="1">IF(A75&gt;'Additional Input'!$E$11,"",($F74*(1+'Additional Input'!$F$27))-$Q74+IF(('Additional Input'!$K$40)&gt;A74,'Additional Input'!$D$40*(1+IF('Additional Input'!$H$40=TRUE,'Additional Input'!$D$13,0))^A74,0)+IF(('Additional Input'!$K$40)&gt;A74,'Additional Input'!$F$40*(1+IF('Additional Input'!$H$40=TRUE,'Additional Input'!$D$13,0))^A74,0))</f>
        <v>0</v>
      </c>
      <c r="G75" s="646">
        <f ca="1">IF(A75&gt;'Additional Input'!$E$11,"",-VLOOKUP(A75*12,Amortization,2))</f>
        <v>0</v>
      </c>
      <c r="H75" s="159">
        <f ca="1">IF(A75&gt;'Additional Input'!$E$11,"",IF(A75&lt;=Calculator!$F$7,Calculator!$D$7,0)+Calculator!$D$8-IF(A75&gt;3,Calculator!$H$8,0))</f>
        <v>0</v>
      </c>
      <c r="I75" s="159">
        <f ca="1">IF(A75&gt;'Additional Input'!$E$11,"",D75+E75+F75+G75+H75)</f>
        <v>16516257.024</v>
      </c>
      <c r="J75" s="646">
        <f ca="1">IF(A75&gt;'Additional Input'!$E$11,"",VLOOKUP(A75,Gifts,11))</f>
        <v>356702.97600000002</v>
      </c>
      <c r="K75" s="159">
        <f ca="1">IF(A75&gt;'Additional Input'!$E$11,"",IF(A75&gt;3,Calculator!$H$8,0))</f>
        <v>0</v>
      </c>
      <c r="L75" s="159">
        <f ca="1">IF(A75&gt;'Additional Input'!$E$11,"",J75+K75)</f>
        <v>356702.97600000002</v>
      </c>
      <c r="M75" s="126">
        <f ca="1">IF(A75&gt;'Additional Input'!$E$11,"",(D75*'Additional Input'!$F$26)+(E75*'Additional Input'!$F$28)+(F75*'Additional Input'!$F$27))</f>
        <v>660650.28096</v>
      </c>
      <c r="N75" s="126">
        <f ca="1">IF(A75&gt;'Additional Input'!$E$11,"",IF(('Additional Input'!$K$35)&gt;Projections!A75,'Additional Input'!$D$35*(1+IF('Additional Input'!$H$35=TRUE,'Additional Input'!$D$13,0))^Projections!A75,0)+IF(('Additional Input'!$K$36)&gt;Projections!A75,'Additional Input'!$D$36*(1+IF('Additional Input'!$H$36=TRUE,'Additional Input'!$D$13,0))^Projections!A75,0)-IF(('Additional Input'!$K$40)&gt;A75,'Additional Input'!$D$40*(1+IF('Additional Input'!$H$39=TRUE,'Additional Input'!$D$13,0))^A75,0)+IF(('Additional Input'!$F$37-'Additional Input'!$N$9)&lt;=Projections!A75,'Additional Input'!$D$37*(1+IF('Additional Input'!$H$37=TRUE,'Additional Input'!$D$13,0))^IF('Additional Input'!$K$37=TRUE,Projections!A75,Projections!A75-('Additional Input'!$F$37-'Additional Input'!$N$9)),0)+Adjustments!C75)</f>
        <v>0</v>
      </c>
      <c r="O75" s="823">
        <f ca="1">IF(A75&gt;'Additional Input'!$E$11,"",IF(('Additional Input'!$N$9+Projections!$A75)&gt;=IF('Additional Input'!$K$44=TRUE,71,70),VLOOKUP(('Additional Input'!$N$9+Projections!$A75),UniformTable,2),0))</f>
        <v>0</v>
      </c>
      <c r="P75" s="822">
        <f ca="1">IF(A75&gt;'Additional Input'!$E$11,"",IF($O75=0,0,$F75/$O75))</f>
        <v>0</v>
      </c>
      <c r="Q75" s="178">
        <f ca="1">IF(A75&gt;'Additional Input'!$E$11,"",IF(IF('Additional Input'!$D$44=TRUE,IF($O75=0,0,$F75/$O75),IF('Additional Input'!$F$45-'Additional Input'!$N$9&lt;=Projections!$A75,IF($F75*(1+$F$4)&lt;'Additional Input'!$D$45*IF('Additional Input'!$H$45=TRUE,(1+'Additional Input'!$D$13)^IF('Additional Input'!$K$45=TRUE,$A75,$A75-('Additional Input'!$F$45-'Additional Input'!$N$9)),1),$F75*(1+$F$4),'Additional Input'!$D$45*IF('Additional Input'!$H$45=TRUE,(1+'Additional Input'!$D$13)^IF('Additional Input'!$K$45=TRUE,$A75,$A75-('Additional Input'!$F$45-'Additional Input'!$N$9)),1)),0))&lt;$P75,$P75,IF('Additional Input'!$D$44=TRUE,IF($O75=0,0,$F75/$O75),IF('Additional Input'!$F$45-'Additional Input'!$N$9&lt;=Projections!$A75,IF($F75*(1+$F$4)&lt;'Additional Input'!$D$45*IF('Additional Input'!$H$45=TRUE,(1+'Additional Input'!$D$13)^IF('Additional Input'!$K$45=TRUE,$A75,$A75-('Additional Input'!$F$45-'Additional Input'!$N$9)),1),$F75*(1+$F$4),'Additional Input'!$D$45*IF('Additional Input'!$H$45=TRUE,(1+'Additional Input'!$D$13)^IF('Additional Input'!$K$45=TRUE,$A75,$A75-('Additional Input'!$F$45-'Additional Input'!$N$9)),1)),0)))+Adjustments!D75)</f>
        <v>0</v>
      </c>
      <c r="R75" s="571">
        <f ca="1">IF(A75&gt;'Additional Input'!$E$11,"",-((N75+Q75)*'Additional Input'!$D$12)+Adjustments!E75)</f>
        <v>0</v>
      </c>
      <c r="S75" s="571">
        <f ca="1">IF(A75&gt;'Additional Input'!$E$11,"",IF($A75&gt;='Additional Input'!$D$19,-'Additional Input'!$D$18*(1+IF('Additional Input'!$F$18=TRUE,'Additional Input'!$D$13,0))^Projections!A75,0)-TaxTables!D34+Adjustments!F75-VLOOKUP(A75,Gifts,6))</f>
        <v>-84000</v>
      </c>
      <c r="T75" s="126">
        <f ca="1">IF(A75&gt;'Additional Input'!$E$11,"",N75+Q75+R75+S75)</f>
        <v>-84000</v>
      </c>
    </row>
    <row r="76" spans="1:21">
      <c r="A76" s="122">
        <f t="shared" si="3"/>
        <v>4</v>
      </c>
      <c r="B76" s="110" t="str">
        <f ca="1">IF(A76&gt;'Additional Input'!$E$11,"",IF('Additional Input'!$N$9="","",'Additional Input'!$N$9+Projections!A76)&amp;"/"&amp;IF('Additional Input'!$O$9="","",IF('Additional Input'!$O$9=0,"",'Additional Input'!$O$9+Projections!A76)))</f>
        <v>64/64</v>
      </c>
      <c r="C76" s="122">
        <f ca="1">IF(A76&gt;'Additional Input'!$E$11,"",+C75+1)</f>
        <v>4</v>
      </c>
      <c r="D76" s="159">
        <f ca="1">IF(A76&gt;'Additional Input'!$E$11,"",($D75*(1+'Additional Input'!$F$26))+$N75+$Q75+$R75+$S75+VLOOKUP(A75,Gifts,6)-VLOOKUP(A76,Gifts,6))</f>
        <v>17086907.304960001</v>
      </c>
      <c r="E76" s="159">
        <f ca="1">IF(A76&gt;'Additional Input'!$E$11,"",E75*(1+'Additional Input'!$F$28))</f>
        <v>0</v>
      </c>
      <c r="F76" s="159">
        <f ca="1">IF(A76&gt;'Additional Input'!$E$11,"",($F75*(1+'Additional Input'!$F$27))-$Q75+IF(('Additional Input'!$K$40)&gt;A75,'Additional Input'!$D$40*(1+IF('Additional Input'!$H$40=TRUE,'Additional Input'!$D$13,0))^A75,0)+IF(('Additional Input'!$K$40)&gt;A75,'Additional Input'!$F$40*(1+IF('Additional Input'!$H$40=TRUE,'Additional Input'!$D$13,0))^A75,0))</f>
        <v>0</v>
      </c>
      <c r="G76" s="646">
        <f ca="1">IF(A76&gt;'Additional Input'!$E$11,"",-VLOOKUP(A76*12,Amortization,2))</f>
        <v>0</v>
      </c>
      <c r="H76" s="159">
        <f ca="1">IF(A76&gt;'Additional Input'!$E$11,"",IF(A76&lt;=Calculator!$F$7,Calculator!$D$7,0)+Calculator!$D$8-IF(A76&gt;3,Calculator!$H$8,0))</f>
        <v>0</v>
      </c>
      <c r="I76" s="159">
        <f ca="1">IF(A76&gt;'Additional Input'!$E$11,"",D76+E76+F76+G76+H76)</f>
        <v>17086907.304960001</v>
      </c>
      <c r="J76" s="646">
        <f ca="1">IF(A76&gt;'Additional Input'!$E$11,"",VLOOKUP(A76,Gifts,11))</f>
        <v>460971.09504000004</v>
      </c>
      <c r="K76" s="159">
        <f ca="1">IF(A76&gt;'Additional Input'!$E$11,"",IF(A76&gt;3,Calculator!$H$8,0))</f>
        <v>0</v>
      </c>
      <c r="L76" s="159">
        <f ca="1">IF(A76&gt;'Additional Input'!$E$11,"",J76+K76)</f>
        <v>460971.09504000004</v>
      </c>
      <c r="M76" s="126">
        <f ca="1">IF(A76&gt;'Additional Input'!$E$11,"",(D76*'Additional Input'!$F$26)+(E76*'Additional Input'!$F$28)+(F76*'Additional Input'!$F$27))</f>
        <v>683476.29219840001</v>
      </c>
      <c r="N76" s="126">
        <f ca="1">IF(A76&gt;'Additional Input'!$E$11,"",IF(('Additional Input'!$K$35)&gt;Projections!A76,'Additional Input'!$D$35*(1+IF('Additional Input'!$H$35=TRUE,'Additional Input'!$D$13,0))^Projections!A76,0)+IF(('Additional Input'!$K$36)&gt;Projections!A76,'Additional Input'!$D$36*(1+IF('Additional Input'!$H$36=TRUE,'Additional Input'!$D$13,0))^Projections!A76,0)-IF(('Additional Input'!$K$40)&gt;A76,'Additional Input'!$D$40*(1+IF('Additional Input'!$H$39=TRUE,'Additional Input'!$D$13,0))^A76,0)+IF(('Additional Input'!$F$37-'Additional Input'!$N$9)&lt;=Projections!A76,'Additional Input'!$D$37*(1+IF('Additional Input'!$H$37=TRUE,'Additional Input'!$D$13,0))^IF('Additional Input'!$K$37=TRUE,Projections!A76,Projections!A76-('Additional Input'!$F$37-'Additional Input'!$N$9)),0)+Adjustments!C76)</f>
        <v>0</v>
      </c>
      <c r="O76" s="823">
        <f ca="1">IF(A76&gt;'Additional Input'!$E$11,"",IF(('Additional Input'!$N$9+Projections!$A76)&gt;=IF('Additional Input'!$K$44=TRUE,71,70),VLOOKUP(('Additional Input'!$N$9+Projections!$A76),UniformTable,2),0))</f>
        <v>0</v>
      </c>
      <c r="P76" s="822">
        <f ca="1">IF(A76&gt;'Additional Input'!$E$11,"",IF($O76=0,0,$F76/$O76))</f>
        <v>0</v>
      </c>
      <c r="Q76" s="178">
        <f ca="1">IF(A76&gt;'Additional Input'!$E$11,"",IF(IF('Additional Input'!$D$44=TRUE,IF($O76=0,0,$F76/$O76),IF('Additional Input'!$F$45-'Additional Input'!$N$9&lt;=Projections!$A76,IF($F76*(1+$F$4)&lt;'Additional Input'!$D$45*IF('Additional Input'!$H$45=TRUE,(1+'Additional Input'!$D$13)^IF('Additional Input'!$K$45=TRUE,$A76,$A76-('Additional Input'!$F$45-'Additional Input'!$N$9)),1),$F76*(1+$F$4),'Additional Input'!$D$45*IF('Additional Input'!$H$45=TRUE,(1+'Additional Input'!$D$13)^IF('Additional Input'!$K$45=TRUE,$A76,$A76-('Additional Input'!$F$45-'Additional Input'!$N$9)),1)),0))&lt;$P76,$P76,IF('Additional Input'!$D$44=TRUE,IF($O76=0,0,$F76/$O76),IF('Additional Input'!$F$45-'Additional Input'!$N$9&lt;=Projections!$A76,IF($F76*(1+$F$4)&lt;'Additional Input'!$D$45*IF('Additional Input'!$H$45=TRUE,(1+'Additional Input'!$D$13)^IF('Additional Input'!$K$45=TRUE,$A76,$A76-('Additional Input'!$F$45-'Additional Input'!$N$9)),1),$F76*(1+$F$4),'Additional Input'!$D$45*IF('Additional Input'!$H$45=TRUE,(1+'Additional Input'!$D$13)^IF('Additional Input'!$K$45=TRUE,$A76,$A76-('Additional Input'!$F$45-'Additional Input'!$N$9)),1)),0)))+Adjustments!D76)</f>
        <v>0</v>
      </c>
      <c r="R76" s="571">
        <f ca="1">IF(A76&gt;'Additional Input'!$E$11,"",-((N76+Q76)*'Additional Input'!$D$12)+Adjustments!E76)</f>
        <v>0</v>
      </c>
      <c r="S76" s="571">
        <f ca="1">IF(A76&gt;'Additional Input'!$E$11,"",IF($A76&gt;='Additional Input'!$D$19,-'Additional Input'!$D$18*(1+IF('Additional Input'!$F$18=TRUE,'Additional Input'!$D$13,0))^Projections!A76,0)-TaxTables!D35+Adjustments!F76-VLOOKUP(A76,Gifts,6))</f>
        <v>-90000</v>
      </c>
      <c r="T76" s="126">
        <f ca="1">IF(A76&gt;'Additional Input'!$E$11,"",N76+Q76+R76+S76)</f>
        <v>-90000</v>
      </c>
    </row>
    <row r="77" spans="1:21">
      <c r="A77" s="650">
        <f t="shared" si="3"/>
        <v>5</v>
      </c>
      <c r="B77" s="651" t="str">
        <f ca="1">IF(A77&gt;'Additional Input'!$E$11,"",IF('Additional Input'!$N$9="","",'Additional Input'!$N$9+Projections!A77)&amp;"/"&amp;IF('Additional Input'!$O$9="","",IF('Additional Input'!$O$9=0,"",'Additional Input'!$O$9+Projections!A77)))</f>
        <v>65/65</v>
      </c>
      <c r="C77" s="650">
        <f ca="1">IF(A77&gt;'Additional Input'!$E$11,"",+C76+1)</f>
        <v>5</v>
      </c>
      <c r="D77" s="652">
        <f ca="1">IF(A77&gt;'Additional Input'!$E$11,"",($D76*(1+'Additional Input'!$F$26))+$N76+$Q76+$R76+$S76+VLOOKUP(A76,Gifts,6)-VLOOKUP(A77,Gifts,6))</f>
        <v>17680383.597158402</v>
      </c>
      <c r="E77" s="653">
        <f ca="1">IF(A77&gt;'Additional Input'!$E$11,"",E76*(1+'Additional Input'!$F$28))</f>
        <v>0</v>
      </c>
      <c r="F77" s="653">
        <f ca="1">IF(A77&gt;'Additional Input'!$E$11,"",($F76*(1+'Additional Input'!$F$27))-$Q76+IF(('Additional Input'!$K$40)&gt;A76,'Additional Input'!$D$40*(1+IF('Additional Input'!$H$40=TRUE,'Additional Input'!$D$13,0))^A76,0)+IF(('Additional Input'!$K$40)&gt;A76,'Additional Input'!$F$40*(1+IF('Additional Input'!$H$40=TRUE,'Additional Input'!$D$13,0))^A76,0))</f>
        <v>0</v>
      </c>
      <c r="G77" s="853">
        <f ca="1">IF(A77&gt;'Additional Input'!$E$11,"",-VLOOKUP(A77*12,Amortization,2))</f>
        <v>0</v>
      </c>
      <c r="H77" s="652">
        <f ca="1">IF(A77&gt;'Additional Input'!$E$11,"",IF(A77&lt;=Calculator!$F$7,Calculator!$D$7,0)+Calculator!$D$8-IF(A77&gt;3,Calculator!$H$8,0))</f>
        <v>0</v>
      </c>
      <c r="I77" s="652">
        <f ca="1">IF(A77&gt;'Additional Input'!$E$11,"",D77+E77+F77+G77+H77)</f>
        <v>17680383.597158402</v>
      </c>
      <c r="J77" s="720">
        <f ca="1">IF(A77&gt;'Additional Input'!$E$11,"",VLOOKUP(A77,Gifts,11))</f>
        <v>569409.93884160009</v>
      </c>
      <c r="K77" s="721">
        <f ca="1">IF(A77&gt;'Additional Input'!$E$11,"",IF(A77&gt;3,Calculator!$H$8,0))</f>
        <v>0</v>
      </c>
      <c r="L77" s="652">
        <f ca="1">IF(A77&gt;'Additional Input'!$E$11,"",J77+K77)</f>
        <v>569409.93884160009</v>
      </c>
      <c r="M77" s="654">
        <f ca="1">IF(A77&gt;'Additional Input'!$E$11,"",(D77*'Additional Input'!$F$26)+(E77*'Additional Input'!$F$28)+(F77*'Additional Input'!$F$27))</f>
        <v>707215.34388633608</v>
      </c>
      <c r="N77" s="654">
        <f ca="1">IF(A77&gt;'Additional Input'!$E$11,"",IF(('Additional Input'!$K$35)&gt;Projections!A77,'Additional Input'!$D$35*(1+IF('Additional Input'!$H$35=TRUE,'Additional Input'!$D$13,0))^Projections!A77,0)+IF(('Additional Input'!$K$36)&gt;Projections!A77,'Additional Input'!$D$36*(1+IF('Additional Input'!$H$36=TRUE,'Additional Input'!$D$13,0))^Projections!A77,0)-IF(('Additional Input'!$K$40)&gt;A77,'Additional Input'!$D$40*(1+IF('Additional Input'!$H$39=TRUE,'Additional Input'!$D$13,0))^A77,0)+IF(('Additional Input'!$F$37-'Additional Input'!$N$9)&lt;=Projections!A77,'Additional Input'!$D$37*(1+IF('Additional Input'!$H$37=TRUE,'Additional Input'!$D$13,0))^IF('Additional Input'!$K$37=TRUE,Projections!A77,Projections!A77-('Additional Input'!$F$37-'Additional Input'!$N$9)),0)+Adjustments!C77)</f>
        <v>0</v>
      </c>
      <c r="O77" s="824">
        <f ca="1">IF(A77&gt;'Additional Input'!$E$11,"",IF(('Additional Input'!$N$9+Projections!$A77)&gt;=IF('Additional Input'!$K$44=TRUE,71,70),VLOOKUP(('Additional Input'!$N$9+Projections!$A77),UniformTable,2),0))</f>
        <v>0</v>
      </c>
      <c r="P77" s="825">
        <f ca="1">IF(A77&gt;'Additional Input'!$E$11,"",IF($O77=0,0,$F77/$O77))</f>
        <v>0</v>
      </c>
      <c r="Q77" s="654">
        <f ca="1">IF(A77&gt;'Additional Input'!$E$11,"",IF(IF('Additional Input'!$D$44=TRUE,IF($O77=0,0,$F77/$O77),IF('Additional Input'!$F$45-'Additional Input'!$N$9&lt;=Projections!$A77,IF($F77*(1+$F$4)&lt;'Additional Input'!$D$45*IF('Additional Input'!$H$45=TRUE,(1+'Additional Input'!$D$13)^IF('Additional Input'!$K$45=TRUE,$A77,$A77-('Additional Input'!$F$45-'Additional Input'!$N$9)),1),$F77*(1+$F$4),'Additional Input'!$D$45*IF('Additional Input'!$H$45=TRUE,(1+'Additional Input'!$D$13)^IF('Additional Input'!$K$45=TRUE,$A77,$A77-('Additional Input'!$F$45-'Additional Input'!$N$9)),1)),0))&lt;$P77,$P77,IF('Additional Input'!$D$44=TRUE,IF($O77=0,0,$F77/$O77),IF('Additional Input'!$F$45-'Additional Input'!$N$9&lt;=Projections!$A77,IF($F77*(1+$F$4)&lt;'Additional Input'!$D$45*IF('Additional Input'!$H$45=TRUE,(1+'Additional Input'!$D$13)^IF('Additional Input'!$K$45=TRUE,$A77,$A77-('Additional Input'!$F$45-'Additional Input'!$N$9)),1),$F77*(1+$F$4),'Additional Input'!$D$45*IF('Additional Input'!$H$45=TRUE,(1+'Additional Input'!$D$13)^IF('Additional Input'!$K$45=TRUE,$A77,$A77-('Additional Input'!$F$45-'Additional Input'!$N$9)),1)),0)))+Adjustments!D77)</f>
        <v>0</v>
      </c>
      <c r="R77" s="656">
        <f ca="1">IF(A77&gt;'Additional Input'!$E$11,"",-((N77+Q77)*'Additional Input'!$D$12)+Adjustments!E77)</f>
        <v>0</v>
      </c>
      <c r="S77" s="656">
        <f ca="1">IF(A77&gt;'Additional Input'!$E$11,"",IF($A77&gt;='Additional Input'!$D$19,-'Additional Input'!$D$18*(1+IF('Additional Input'!$F$18=TRUE,'Additional Input'!$D$13,0))^Projections!A77,0)-TaxTables!D36+Adjustments!F77-VLOOKUP(A77,Gifts,6))</f>
        <v>-90000</v>
      </c>
      <c r="T77" s="654">
        <f ca="1">IF(A77&gt;'Additional Input'!$E$11,"",N77+Q77+R77+S77)</f>
        <v>-90000</v>
      </c>
    </row>
    <row r="78" spans="1:21">
      <c r="A78" s="122">
        <f t="shared" si="3"/>
        <v>6</v>
      </c>
      <c r="B78" s="110" t="str">
        <f ca="1">IF(A78&gt;'Additional Input'!$E$11,"",IF('Additional Input'!$N$9="","",'Additional Input'!$N$9+Projections!A78)&amp;"/"&amp;IF('Additional Input'!$O$9="","",IF('Additional Input'!$O$9=0,"",'Additional Input'!$O$9+Projections!A78)))</f>
        <v>66/66</v>
      </c>
      <c r="C78" s="122">
        <f ca="1">IF(A78&gt;'Additional Input'!$E$11,"",+C77+1)</f>
        <v>6</v>
      </c>
      <c r="D78" s="159">
        <f ca="1">IF(A78&gt;'Additional Input'!$E$11,"",($D77*(1+'Additional Input'!$F$26))+$N77+$Q77+$R77+$S77+VLOOKUP(A77,Gifts,6)-VLOOKUP(A78,Gifts,6))</f>
        <v>18297598.94104474</v>
      </c>
      <c r="E78" s="159">
        <f ca="1">IF(A78&gt;'Additional Input'!$E$11,"",E77*(1+'Additional Input'!$F$28))</f>
        <v>0</v>
      </c>
      <c r="F78" s="159">
        <f ca="1">IF(A78&gt;'Additional Input'!$E$11,"",($F77*(1+'Additional Input'!$F$27))-$Q77+IF(('Additional Input'!$K$40)&gt;A77,'Additional Input'!$D$40*(1+IF('Additional Input'!$H$40=TRUE,'Additional Input'!$D$13,0))^A77,0)+IF(('Additional Input'!$K$40)&gt;A77,'Additional Input'!$F$40*(1+IF('Additional Input'!$H$40=TRUE,'Additional Input'!$D$13,0))^A77,0))</f>
        <v>0</v>
      </c>
      <c r="G78" s="646">
        <f ca="1">IF(A78&gt;'Additional Input'!$E$11,"",-VLOOKUP(A78*12,Amortization,2))</f>
        <v>0</v>
      </c>
      <c r="H78" s="159">
        <f ca="1">IF(A78&gt;'Additional Input'!$E$11,"",IF(A78&lt;=Calculator!$F$7,Calculator!$D$7,0)+Calculator!$D$8-IF(A78&gt;3,Calculator!$H$8,0))</f>
        <v>0</v>
      </c>
      <c r="I78" s="159">
        <f ca="1">IF(A78&gt;'Additional Input'!$E$11,"",D78+E78+F78+G78+H78)</f>
        <v>18297598.94104474</v>
      </c>
      <c r="J78" s="646">
        <f ca="1">IF(A78&gt;'Additional Input'!$E$11,"",VLOOKUP(A78,Gifts,11))</f>
        <v>682186.33639526414</v>
      </c>
      <c r="K78" s="159">
        <f ca="1">IF(A78&gt;'Additional Input'!$E$11,"",IF(A78&gt;3,Calculator!$H$8,0))</f>
        <v>0</v>
      </c>
      <c r="L78" s="159">
        <f ca="1">IF(A78&gt;'Additional Input'!$E$11,"",J78+K78)</f>
        <v>682186.33639526414</v>
      </c>
      <c r="M78" s="126">
        <f ca="1">IF(A78&gt;'Additional Input'!$E$11,"",(D78*'Additional Input'!$F$26)+(E78*'Additional Input'!$F$28)+(F78*'Additional Input'!$F$27))</f>
        <v>731903.95764178957</v>
      </c>
      <c r="N78" s="126">
        <f ca="1">IF(A78&gt;'Additional Input'!$E$11,"",IF(('Additional Input'!$K$35)&gt;Projections!A78,'Additional Input'!$D$35*(1+IF('Additional Input'!$H$35=TRUE,'Additional Input'!$D$13,0))^Projections!A78,0)+IF(('Additional Input'!$K$36)&gt;Projections!A78,'Additional Input'!$D$36*(1+IF('Additional Input'!$H$36=TRUE,'Additional Input'!$D$13,0))^Projections!A78,0)-IF(('Additional Input'!$K$40)&gt;A78,'Additional Input'!$D$40*(1+IF('Additional Input'!$H$39=TRUE,'Additional Input'!$D$13,0))^A78,0)+IF(('Additional Input'!$F$37-'Additional Input'!$N$9)&lt;=Projections!A78,'Additional Input'!$D$37*(1+IF('Additional Input'!$H$37=TRUE,'Additional Input'!$D$13,0))^IF('Additional Input'!$K$37=TRUE,Projections!A78,Projections!A78-('Additional Input'!$F$37-'Additional Input'!$N$9)),0)+Adjustments!C78)</f>
        <v>0</v>
      </c>
      <c r="O78" s="823">
        <f ca="1">IF(A78&gt;'Additional Input'!$E$11,"",IF(('Additional Input'!$N$9+Projections!$A78)&gt;=IF('Additional Input'!$K$44=TRUE,71,70),VLOOKUP(('Additional Input'!$N$9+Projections!$A78),UniformTable,2),0))</f>
        <v>0</v>
      </c>
      <c r="P78" s="822">
        <f ca="1">IF(A78&gt;'Additional Input'!$E$11,"",IF($O78=0,0,$F78/$O78))</f>
        <v>0</v>
      </c>
      <c r="Q78" s="178">
        <f ca="1">IF(A78&gt;'Additional Input'!$E$11,"",IF(IF('Additional Input'!$D$44=TRUE,IF($O78=0,0,$F78/$O78),IF('Additional Input'!$F$45-'Additional Input'!$N$9&lt;=Projections!$A78,IF($F78*(1+$F$4)&lt;'Additional Input'!$D$45*IF('Additional Input'!$H$45=TRUE,(1+'Additional Input'!$D$13)^IF('Additional Input'!$K$45=TRUE,$A78,$A78-('Additional Input'!$F$45-'Additional Input'!$N$9)),1),$F78*(1+$F$4),'Additional Input'!$D$45*IF('Additional Input'!$H$45=TRUE,(1+'Additional Input'!$D$13)^IF('Additional Input'!$K$45=TRUE,$A78,$A78-('Additional Input'!$F$45-'Additional Input'!$N$9)),1)),0))&lt;$P78,$P78,IF('Additional Input'!$D$44=TRUE,IF($O78=0,0,$F78/$O78),IF('Additional Input'!$F$45-'Additional Input'!$N$9&lt;=Projections!$A78,IF($F78*(1+$F$4)&lt;'Additional Input'!$D$45*IF('Additional Input'!$H$45=TRUE,(1+'Additional Input'!$D$13)^IF('Additional Input'!$K$45=TRUE,$A78,$A78-('Additional Input'!$F$45-'Additional Input'!$N$9)),1),$F78*(1+$F$4),'Additional Input'!$D$45*IF('Additional Input'!$H$45=TRUE,(1+'Additional Input'!$D$13)^IF('Additional Input'!$K$45=TRUE,$A78,$A78-('Additional Input'!$F$45-'Additional Input'!$N$9)),1)),0)))+Adjustments!D78)</f>
        <v>0</v>
      </c>
      <c r="R78" s="571">
        <f ca="1">IF(A78&gt;'Additional Input'!$E$11,"",-((N78+Q78)*'Additional Input'!$D$12)+Adjustments!E78)</f>
        <v>0</v>
      </c>
      <c r="S78" s="571">
        <f ca="1">IF(A78&gt;'Additional Input'!$E$11,"",IF($A78&gt;='Additional Input'!$D$19,-'Additional Input'!$D$18*(1+IF('Additional Input'!$F$18=TRUE,'Additional Input'!$D$13,0))^Projections!A78,0)-TaxTables!D37+Adjustments!F78-VLOOKUP(A78,Gifts,6))</f>
        <v>-90000</v>
      </c>
      <c r="T78" s="126">
        <f ca="1">IF(A78&gt;'Additional Input'!$E$11,"",N78+Q78+R78+S78)</f>
        <v>-90000</v>
      </c>
    </row>
    <row r="79" spans="1:21">
      <c r="A79" s="122">
        <f t="shared" si="3"/>
        <v>7</v>
      </c>
      <c r="B79" s="110" t="str">
        <f ca="1">IF(A79&gt;'Additional Input'!$E$11,"",IF('Additional Input'!$N$9="","",'Additional Input'!$N$9+Projections!A79)&amp;"/"&amp;IF('Additional Input'!$O$9="","",IF('Additional Input'!$O$9=0,"",'Additional Input'!$O$9+Projections!A79)))</f>
        <v>67/67</v>
      </c>
      <c r="C79" s="122">
        <f ca="1">IF(A79&gt;'Additional Input'!$E$11,"",+C78+1)</f>
        <v>7</v>
      </c>
      <c r="D79" s="159">
        <f ca="1">IF(A79&gt;'Additional Input'!$E$11,"",($D78*(1+'Additional Input'!$F$26))+$N78+$Q78+$R78+$S78+VLOOKUP(A78,Gifts,6)-VLOOKUP(A79,Gifts,6))</f>
        <v>18933502.898686532</v>
      </c>
      <c r="E79" s="159">
        <f ca="1">IF(A79&gt;'Additional Input'!$E$11,"",E78*(1+'Additional Input'!$F$28))</f>
        <v>0</v>
      </c>
      <c r="F79" s="159">
        <f ca="1">IF(A79&gt;'Additional Input'!$E$11,"",($F78*(1+'Additional Input'!$F$27))-$Q78+IF(('Additional Input'!$K$40)&gt;A78,'Additional Input'!$D$40*(1+IF('Additional Input'!$H$40=TRUE,'Additional Input'!$D$13,0))^A78,0)+IF(('Additional Input'!$K$40)&gt;A78,'Additional Input'!$F$40*(1+IF('Additional Input'!$H$40=TRUE,'Additional Input'!$D$13,0))^A78,0))</f>
        <v>0</v>
      </c>
      <c r="G79" s="646">
        <f ca="1">IF(A79&gt;'Additional Input'!$E$11,"",-VLOOKUP(A79*12,Amortization,2))</f>
        <v>0</v>
      </c>
      <c r="H79" s="159">
        <f ca="1">IF(A79&gt;'Additional Input'!$E$11,"",IF(A79&lt;=Calculator!$F$7,Calculator!$D$7,0)+Calculator!$D$8-IF(A79&gt;3,Calculator!$H$8,0))</f>
        <v>0</v>
      </c>
      <c r="I79" s="159">
        <f ca="1">IF(A79&gt;'Additional Input'!$E$11,"",D79+E79+F79+G79+H79)</f>
        <v>18933502.898686532</v>
      </c>
      <c r="J79" s="646">
        <f ca="1">IF(A79&gt;'Additional Input'!$E$11,"",VLOOKUP(A79,Gifts,11))</f>
        <v>805473.78985107469</v>
      </c>
      <c r="K79" s="159">
        <f ca="1">IF(A79&gt;'Additional Input'!$E$11,"",IF(A79&gt;3,Calculator!$H$8,0))</f>
        <v>0</v>
      </c>
      <c r="L79" s="159">
        <f ca="1">IF(A79&gt;'Additional Input'!$E$11,"",J79+K79)</f>
        <v>805473.78985107469</v>
      </c>
      <c r="M79" s="126">
        <f ca="1">IF(A79&gt;'Additional Input'!$E$11,"",(D79*'Additional Input'!$F$26)+(E79*'Additional Input'!$F$28)+(F79*'Additional Input'!$F$27))</f>
        <v>757340.11594746134</v>
      </c>
      <c r="N79" s="126">
        <f ca="1">IF(A79&gt;'Additional Input'!$E$11,"",IF(('Additional Input'!$K$35)&gt;Projections!A79,'Additional Input'!$D$35*(1+IF('Additional Input'!$H$35=TRUE,'Additional Input'!$D$13,0))^Projections!A79,0)+IF(('Additional Input'!$K$36)&gt;Projections!A79,'Additional Input'!$D$36*(1+IF('Additional Input'!$H$36=TRUE,'Additional Input'!$D$13,0))^Projections!A79,0)-IF(('Additional Input'!$K$40)&gt;A79,'Additional Input'!$D$40*(1+IF('Additional Input'!$H$39=TRUE,'Additional Input'!$D$13,0))^A79,0)+IF(('Additional Input'!$F$37-'Additional Input'!$N$9)&lt;=Projections!A79,'Additional Input'!$D$37*(1+IF('Additional Input'!$H$37=TRUE,'Additional Input'!$D$13,0))^IF('Additional Input'!$K$37=TRUE,Projections!A79,Projections!A79-('Additional Input'!$F$37-'Additional Input'!$N$9)),0)+Adjustments!C79)</f>
        <v>0</v>
      </c>
      <c r="O79" s="823">
        <f ca="1">IF(A79&gt;'Additional Input'!$E$11,"",IF(('Additional Input'!$N$9+Projections!$A79)&gt;=IF('Additional Input'!$K$44=TRUE,71,70),VLOOKUP(('Additional Input'!$N$9+Projections!$A79),UniformTable,2),0))</f>
        <v>0</v>
      </c>
      <c r="P79" s="822">
        <f ca="1">IF(A79&gt;'Additional Input'!$E$11,"",IF($O79=0,0,$F79/$O79))</f>
        <v>0</v>
      </c>
      <c r="Q79" s="178">
        <f ca="1">IF(A79&gt;'Additional Input'!$E$11,"",IF(IF('Additional Input'!$D$44=TRUE,IF($O79=0,0,$F79/$O79),IF('Additional Input'!$F$45-'Additional Input'!$N$9&lt;=Projections!$A79,IF($F79*(1+$F$4)&lt;'Additional Input'!$D$45*IF('Additional Input'!$H$45=TRUE,(1+'Additional Input'!$D$13)^IF('Additional Input'!$K$45=TRUE,$A79,$A79-('Additional Input'!$F$45-'Additional Input'!$N$9)),1),$F79*(1+$F$4),'Additional Input'!$D$45*IF('Additional Input'!$H$45=TRUE,(1+'Additional Input'!$D$13)^IF('Additional Input'!$K$45=TRUE,$A79,$A79-('Additional Input'!$F$45-'Additional Input'!$N$9)),1)),0))&lt;$P79,$P79,IF('Additional Input'!$D$44=TRUE,IF($O79=0,0,$F79/$O79),IF('Additional Input'!$F$45-'Additional Input'!$N$9&lt;=Projections!$A79,IF($F79*(1+$F$4)&lt;'Additional Input'!$D$45*IF('Additional Input'!$H$45=TRUE,(1+'Additional Input'!$D$13)^IF('Additional Input'!$K$45=TRUE,$A79,$A79-('Additional Input'!$F$45-'Additional Input'!$N$9)),1),$F79*(1+$F$4),'Additional Input'!$D$45*IF('Additional Input'!$H$45=TRUE,(1+'Additional Input'!$D$13)^IF('Additional Input'!$K$45=TRUE,$A79,$A79-('Additional Input'!$F$45-'Additional Input'!$N$9)),1)),0)))+Adjustments!D79)</f>
        <v>0</v>
      </c>
      <c r="R79" s="571">
        <f ca="1">IF(A79&gt;'Additional Input'!$E$11,"",-((N79+Q79)*'Additional Input'!$D$12)+Adjustments!E79)</f>
        <v>0</v>
      </c>
      <c r="S79" s="571">
        <f ca="1">IF(A79&gt;'Additional Input'!$E$11,"",IF($A79&gt;='Additional Input'!$D$19,-'Additional Input'!$D$18*(1+IF('Additional Input'!$F$18=TRUE,'Additional Input'!$D$13,0))^Projections!A79,0)-TaxTables!D38+Adjustments!F79-VLOOKUP(A79,Gifts,6))</f>
        <v>-96000</v>
      </c>
      <c r="T79" s="126">
        <f ca="1">IF(A79&gt;'Additional Input'!$E$11,"",N79+Q79+R79+S79)</f>
        <v>-96000</v>
      </c>
    </row>
    <row r="80" spans="1:21">
      <c r="A80" s="122">
        <f t="shared" si="3"/>
        <v>8</v>
      </c>
      <c r="B80" s="110" t="str">
        <f ca="1">IF(A80&gt;'Additional Input'!$E$11,"",IF('Additional Input'!$N$9="","",'Additional Input'!$N$9+Projections!A80)&amp;"/"&amp;IF('Additional Input'!$O$9="","",IF('Additional Input'!$O$9=0,"",'Additional Input'!$O$9+Projections!A80)))</f>
        <v>68/68</v>
      </c>
      <c r="C80" s="122">
        <f ca="1">IF(A80&gt;'Additional Input'!$E$11,"",+C79+1)</f>
        <v>8</v>
      </c>
      <c r="D80" s="159">
        <f ca="1">IF(A80&gt;'Additional Input'!$E$11,"",($D79*(1+'Additional Input'!$F$26))+$N79+$Q79+$R79+$S79+VLOOKUP(A79,Gifts,6)-VLOOKUP(A80,Gifts,6))</f>
        <v>19594843.014633995</v>
      </c>
      <c r="E80" s="159">
        <f ca="1">IF(A80&gt;'Additional Input'!$E$11,"",E79*(1+'Additional Input'!$F$28))</f>
        <v>0</v>
      </c>
      <c r="F80" s="159">
        <f ca="1">IF(A80&gt;'Additional Input'!$E$11,"",($F79*(1+'Additional Input'!$F$27))-$Q79+IF(('Additional Input'!$K$40)&gt;A79,'Additional Input'!$D$40*(1+IF('Additional Input'!$H$40=TRUE,'Additional Input'!$D$13,0))^A79,0)+IF(('Additional Input'!$K$40)&gt;A79,'Additional Input'!$F$40*(1+IF('Additional Input'!$H$40=TRUE,'Additional Input'!$D$13,0))^A79,0))</f>
        <v>0</v>
      </c>
      <c r="G80" s="646">
        <f ca="1">IF(A80&gt;'Additional Input'!$E$11,"",-VLOOKUP(A80*12,Amortization,2))</f>
        <v>0</v>
      </c>
      <c r="H80" s="159">
        <f ca="1">IF(A80&gt;'Additional Input'!$E$11,"",IF(A80&lt;=Calculator!$F$7,Calculator!$D$7,0)+Calculator!$D$8-IF(A80&gt;3,Calculator!$H$8,0))</f>
        <v>0</v>
      </c>
      <c r="I80" s="159">
        <f ca="1">IF(A80&gt;'Additional Input'!$E$11,"",D80+E80+F80+G80+H80)</f>
        <v>19594843.014633995</v>
      </c>
      <c r="J80" s="646">
        <f ca="1">IF(A80&gt;'Additional Input'!$E$11,"",VLOOKUP(A80,Gifts,11))</f>
        <v>933692.74144511775</v>
      </c>
      <c r="K80" s="159">
        <f ca="1">IF(A80&gt;'Additional Input'!$E$11,"",IF(A80&gt;3,Calculator!$H$8,0))</f>
        <v>0</v>
      </c>
      <c r="L80" s="159">
        <f ca="1">IF(A80&gt;'Additional Input'!$E$11,"",J80+K80)</f>
        <v>933692.74144511775</v>
      </c>
      <c r="M80" s="126">
        <f ca="1">IF(A80&gt;'Additional Input'!$E$11,"",(D80*'Additional Input'!$F$26)+(E80*'Additional Input'!$F$28)+(F80*'Additional Input'!$F$27))</f>
        <v>783793.72058535984</v>
      </c>
      <c r="N80" s="126">
        <f ca="1">IF(A80&gt;'Additional Input'!$E$11,"",IF(('Additional Input'!$K$35)&gt;Projections!A80,'Additional Input'!$D$35*(1+IF('Additional Input'!$H$35=TRUE,'Additional Input'!$D$13,0))^Projections!A80,0)+IF(('Additional Input'!$K$36)&gt;Projections!A80,'Additional Input'!$D$36*(1+IF('Additional Input'!$H$36=TRUE,'Additional Input'!$D$13,0))^Projections!A80,0)-IF(('Additional Input'!$K$40)&gt;A80,'Additional Input'!$D$40*(1+IF('Additional Input'!$H$39=TRUE,'Additional Input'!$D$13,0))^A80,0)+IF(('Additional Input'!$F$37-'Additional Input'!$N$9)&lt;=Projections!A80,'Additional Input'!$D$37*(1+IF('Additional Input'!$H$37=TRUE,'Additional Input'!$D$13,0))^IF('Additional Input'!$K$37=TRUE,Projections!A80,Projections!A80-('Additional Input'!$F$37-'Additional Input'!$N$9)),0)+Adjustments!C80)</f>
        <v>0</v>
      </c>
      <c r="O80" s="823">
        <f ca="1">IF(A80&gt;'Additional Input'!$E$11,"",IF(('Additional Input'!$N$9+Projections!$A80)&gt;=IF('Additional Input'!$K$44=TRUE,71,70),VLOOKUP(('Additional Input'!$N$9+Projections!$A80),UniformTable,2),0))</f>
        <v>0</v>
      </c>
      <c r="P80" s="822">
        <f ca="1">IF(A80&gt;'Additional Input'!$E$11,"",IF($O80=0,0,$F80/$O80))</f>
        <v>0</v>
      </c>
      <c r="Q80" s="178">
        <f ca="1">IF(A80&gt;'Additional Input'!$E$11,"",IF(IF('Additional Input'!$D$44=TRUE,IF($O80=0,0,$F80/$O80),IF('Additional Input'!$F$45-'Additional Input'!$N$9&lt;=Projections!$A80,IF($F80*(1+$F$4)&lt;'Additional Input'!$D$45*IF('Additional Input'!$H$45=TRUE,(1+'Additional Input'!$D$13)^IF('Additional Input'!$K$45=TRUE,$A80,$A80-('Additional Input'!$F$45-'Additional Input'!$N$9)),1),$F80*(1+$F$4),'Additional Input'!$D$45*IF('Additional Input'!$H$45=TRUE,(1+'Additional Input'!$D$13)^IF('Additional Input'!$K$45=TRUE,$A80,$A80-('Additional Input'!$F$45-'Additional Input'!$N$9)),1)),0))&lt;$P80,$P80,IF('Additional Input'!$D$44=TRUE,IF($O80=0,0,$F80/$O80),IF('Additional Input'!$F$45-'Additional Input'!$N$9&lt;=Projections!$A80,IF($F80*(1+$F$4)&lt;'Additional Input'!$D$45*IF('Additional Input'!$H$45=TRUE,(1+'Additional Input'!$D$13)^IF('Additional Input'!$K$45=TRUE,$A80,$A80-('Additional Input'!$F$45-'Additional Input'!$N$9)),1),$F80*(1+$F$4),'Additional Input'!$D$45*IF('Additional Input'!$H$45=TRUE,(1+'Additional Input'!$D$13)^IF('Additional Input'!$K$45=TRUE,$A80,$A80-('Additional Input'!$F$45-'Additional Input'!$N$9)),1)),0)))+Adjustments!D80)</f>
        <v>0</v>
      </c>
      <c r="R80" s="571">
        <f ca="1">IF(A80&gt;'Additional Input'!$E$11,"",-((N80+Q80)*'Additional Input'!$D$12)+Adjustments!E80)</f>
        <v>0</v>
      </c>
      <c r="S80" s="571">
        <f ca="1">IF(A80&gt;'Additional Input'!$E$11,"",IF($A80&gt;='Additional Input'!$D$19,-'Additional Input'!$D$18*(1+IF('Additional Input'!$F$18=TRUE,'Additional Input'!$D$13,0))^Projections!A80,0)-TaxTables!D39+Adjustments!F80-VLOOKUP(A80,Gifts,6))</f>
        <v>-96000</v>
      </c>
      <c r="T80" s="126">
        <f ca="1">IF(A80&gt;'Additional Input'!$E$11,"",N80+Q80+R80+S80)</f>
        <v>-96000</v>
      </c>
    </row>
    <row r="81" spans="1:20">
      <c r="A81" s="122">
        <f t="shared" si="3"/>
        <v>9</v>
      </c>
      <c r="B81" s="110" t="str">
        <f ca="1">IF(A81&gt;'Additional Input'!$E$11,"",IF('Additional Input'!$N$9="","",'Additional Input'!$N$9+Projections!A81)&amp;"/"&amp;IF('Additional Input'!$O$9="","",IF('Additional Input'!$O$9=0,"",'Additional Input'!$O$9+Projections!A81)))</f>
        <v>69/69</v>
      </c>
      <c r="C81" s="122">
        <f ca="1">IF(A81&gt;'Additional Input'!$E$11,"",+C80+1)</f>
        <v>9</v>
      </c>
      <c r="D81" s="159">
        <f ca="1">IF(A81&gt;'Additional Input'!$E$11,"",($D80*(1+'Additional Input'!$F$26))+$N80+$Q80+$R80+$S80+VLOOKUP(A80,Gifts,6)-VLOOKUP(A81,Gifts,6))</f>
        <v>20282636.735219356</v>
      </c>
      <c r="E81" s="159">
        <f ca="1">IF(A81&gt;'Additional Input'!$E$11,"",E80*(1+'Additional Input'!$F$28))</f>
        <v>0</v>
      </c>
      <c r="F81" s="159">
        <f ca="1">IF(A81&gt;'Additional Input'!$E$11,"",($F80*(1+'Additional Input'!$F$27))-$Q80+IF(('Additional Input'!$K$40)&gt;A80,'Additional Input'!$D$40*(1+IF('Additional Input'!$H$40=TRUE,'Additional Input'!$D$13,0))^A80,0)+IF(('Additional Input'!$K$40)&gt;A80,'Additional Input'!$F$40*(1+IF('Additional Input'!$H$40=TRUE,'Additional Input'!$D$13,0))^A80,0))</f>
        <v>0</v>
      </c>
      <c r="G81" s="646">
        <f ca="1">IF(A81&gt;'Additional Input'!$E$11,"",-VLOOKUP(A81*12,Amortization,2))</f>
        <v>0</v>
      </c>
      <c r="H81" s="159">
        <f ca="1">IF(A81&gt;'Additional Input'!$E$11,"",IF(A81&lt;=Calculator!$F$7,Calculator!$D$7,0)+Calculator!$D$8-IF(A81&gt;3,Calculator!$H$8,0))</f>
        <v>0</v>
      </c>
      <c r="I81" s="159">
        <f ca="1">IF(A81&gt;'Additional Input'!$E$11,"",D81+E81+F81+G81+H81)</f>
        <v>20282636.735219356</v>
      </c>
      <c r="J81" s="646">
        <f ca="1">IF(A81&gt;'Additional Input'!$E$11,"",VLOOKUP(A81,Gifts,11))</f>
        <v>1067040.4511029224</v>
      </c>
      <c r="K81" s="159">
        <f ca="1">IF(A81&gt;'Additional Input'!$E$11,"",IF(A81&gt;3,Calculator!$H$8,0))</f>
        <v>0</v>
      </c>
      <c r="L81" s="159">
        <f ca="1">IF(A81&gt;'Additional Input'!$E$11,"",J81+K81)</f>
        <v>1067040.4511029224</v>
      </c>
      <c r="M81" s="126">
        <f ca="1">IF(A81&gt;'Additional Input'!$E$11,"",(D81*'Additional Input'!$F$26)+(E81*'Additional Input'!$F$28)+(F81*'Additional Input'!$F$27))</f>
        <v>811305.46940877428</v>
      </c>
      <c r="N81" s="126">
        <f ca="1">IF(A81&gt;'Additional Input'!$E$11,"",IF(('Additional Input'!$K$35)&gt;Projections!A81,'Additional Input'!$D$35*(1+IF('Additional Input'!$H$35=TRUE,'Additional Input'!$D$13,0))^Projections!A81,0)+IF(('Additional Input'!$K$36)&gt;Projections!A81,'Additional Input'!$D$36*(1+IF('Additional Input'!$H$36=TRUE,'Additional Input'!$D$13,0))^Projections!A81,0)-IF(('Additional Input'!$K$40)&gt;A81,'Additional Input'!$D$40*(1+IF('Additional Input'!$H$39=TRUE,'Additional Input'!$D$13,0))^A81,0)+IF(('Additional Input'!$F$37-'Additional Input'!$N$9)&lt;=Projections!A81,'Additional Input'!$D$37*(1+IF('Additional Input'!$H$37=TRUE,'Additional Input'!$D$13,0))^IF('Additional Input'!$K$37=TRUE,Projections!A81,Projections!A81-('Additional Input'!$F$37-'Additional Input'!$N$9)),0)+Adjustments!C81)</f>
        <v>0</v>
      </c>
      <c r="O81" s="823">
        <f ca="1">IF(A81&gt;'Additional Input'!$E$11,"",IF(('Additional Input'!$N$9+Projections!$A81)&gt;=IF('Additional Input'!$K$44=TRUE,71,70),VLOOKUP(('Additional Input'!$N$9+Projections!$A81),UniformTable,2),0))</f>
        <v>0</v>
      </c>
      <c r="P81" s="822">
        <f ca="1">IF(A81&gt;'Additional Input'!$E$11,"",IF($O81=0,0,$F81/$O81))</f>
        <v>0</v>
      </c>
      <c r="Q81" s="178">
        <f ca="1">IF(A81&gt;'Additional Input'!$E$11,"",IF(IF('Additional Input'!$D$44=TRUE,IF($O81=0,0,$F81/$O81),IF('Additional Input'!$F$45-'Additional Input'!$N$9&lt;=Projections!$A81,IF($F81*(1+$F$4)&lt;'Additional Input'!$D$45*IF('Additional Input'!$H$45=TRUE,(1+'Additional Input'!$D$13)^IF('Additional Input'!$K$45=TRUE,$A81,$A81-('Additional Input'!$F$45-'Additional Input'!$N$9)),1),$F81*(1+$F$4),'Additional Input'!$D$45*IF('Additional Input'!$H$45=TRUE,(1+'Additional Input'!$D$13)^IF('Additional Input'!$K$45=TRUE,$A81,$A81-('Additional Input'!$F$45-'Additional Input'!$N$9)),1)),0))&lt;$P81,$P81,IF('Additional Input'!$D$44=TRUE,IF($O81=0,0,$F81/$O81),IF('Additional Input'!$F$45-'Additional Input'!$N$9&lt;=Projections!$A81,IF($F81*(1+$F$4)&lt;'Additional Input'!$D$45*IF('Additional Input'!$H$45=TRUE,(1+'Additional Input'!$D$13)^IF('Additional Input'!$K$45=TRUE,$A81,$A81-('Additional Input'!$F$45-'Additional Input'!$N$9)),1),$F81*(1+$F$4),'Additional Input'!$D$45*IF('Additional Input'!$H$45=TRUE,(1+'Additional Input'!$D$13)^IF('Additional Input'!$K$45=TRUE,$A81,$A81-('Additional Input'!$F$45-'Additional Input'!$N$9)),1)),0)))+Adjustments!D81)</f>
        <v>0</v>
      </c>
      <c r="R81" s="571">
        <f ca="1">IF(A81&gt;'Additional Input'!$E$11,"",-((N81+Q81)*'Additional Input'!$D$12)+Adjustments!E81)</f>
        <v>0</v>
      </c>
      <c r="S81" s="571">
        <f ca="1">IF(A81&gt;'Additional Input'!$E$11,"",IF($A81&gt;='Additional Input'!$D$19,-'Additional Input'!$D$18*(1+IF('Additional Input'!$F$18=TRUE,'Additional Input'!$D$13,0))^Projections!A81,0)-TaxTables!D40+Adjustments!F81-VLOOKUP(A81,Gifts,6))</f>
        <v>-96000</v>
      </c>
      <c r="T81" s="126">
        <f ca="1">IF(A81&gt;'Additional Input'!$E$11,"",N81+Q81+R81+S81)</f>
        <v>-96000</v>
      </c>
    </row>
    <row r="82" spans="1:20">
      <c r="A82" s="650">
        <f t="shared" si="3"/>
        <v>10</v>
      </c>
      <c r="B82" s="651" t="str">
        <f ca="1">IF(A82&gt;'Additional Input'!$E$11,"",IF('Additional Input'!$N$9="","",'Additional Input'!$N$9+Projections!A82)&amp;"/"&amp;IF('Additional Input'!$O$9="","",IF('Additional Input'!$O$9=0,"",'Additional Input'!$O$9+Projections!A82)))</f>
        <v>70/70</v>
      </c>
      <c r="C82" s="650">
        <f ca="1">IF(A82&gt;'Additional Input'!$E$11,"",+C81+1)</f>
        <v>10</v>
      </c>
      <c r="D82" s="652">
        <f ca="1">IF(A82&gt;'Additional Input'!$E$11,"",($D81*(1+'Additional Input'!$F$26))+$N81+$Q81+$R81+$S81+VLOOKUP(A81,Gifts,6)-VLOOKUP(A82,Gifts,6))</f>
        <v>20991942.204628132</v>
      </c>
      <c r="E82" s="653">
        <f ca="1">IF(A82&gt;'Additional Input'!$E$11,"",E81*(1+'Additional Input'!$F$28))</f>
        <v>0</v>
      </c>
      <c r="F82" s="653">
        <f ca="1">IF(A82&gt;'Additional Input'!$E$11,"",($F81*(1+'Additional Input'!$F$27))-$Q81+IF(('Additional Input'!$K$40)&gt;A81,'Additional Input'!$D$40*(1+IF('Additional Input'!$H$40=TRUE,'Additional Input'!$D$13,0))^A81,0)+IF(('Additional Input'!$K$40)&gt;A81,'Additional Input'!$F$40*(1+IF('Additional Input'!$H$40=TRUE,'Additional Input'!$D$13,0))^A81,0))</f>
        <v>0</v>
      </c>
      <c r="G82" s="853">
        <f ca="1">IF(A82&gt;'Additional Input'!$E$11,"",-VLOOKUP(A82*12,Amortization,2))</f>
        <v>0</v>
      </c>
      <c r="H82" s="652">
        <f ca="1">IF(A82&gt;'Additional Input'!$E$11,"",IF(A82&lt;=Calculator!$F$7,Calculator!$D$7,0)+Calculator!$D$8-IF(A82&gt;3,Calculator!$H$8,0))</f>
        <v>0</v>
      </c>
      <c r="I82" s="652">
        <f ca="1">IF(A82&gt;'Additional Input'!$E$11,"",D82+E82+F82+G82+H82)</f>
        <v>20991942.204628132</v>
      </c>
      <c r="J82" s="720">
        <f ca="1">IF(A82&gt;'Additional Input'!$E$11,"",VLOOKUP(A82,Gifts,11))</f>
        <v>1211722.0691470394</v>
      </c>
      <c r="K82" s="721">
        <f ca="1">IF(A82&gt;'Additional Input'!$E$11,"",IF(A82&gt;3,Calculator!$H$8,0))</f>
        <v>0</v>
      </c>
      <c r="L82" s="652">
        <f ca="1">IF(A82&gt;'Additional Input'!$E$11,"",J82+K82)</f>
        <v>1211722.0691470394</v>
      </c>
      <c r="M82" s="654">
        <f ca="1">IF(A82&gt;'Additional Input'!$E$11,"",(D82*'Additional Input'!$F$26)+(E82*'Additional Input'!$F$28)+(F82*'Additional Input'!$F$27))</f>
        <v>839677.68818512536</v>
      </c>
      <c r="N82" s="654">
        <f ca="1">IF(A82&gt;'Additional Input'!$E$11,"",IF(('Additional Input'!$K$35)&gt;Projections!A82,'Additional Input'!$D$35*(1+IF('Additional Input'!$H$35=TRUE,'Additional Input'!$D$13,0))^Projections!A82,0)+IF(('Additional Input'!$K$36)&gt;Projections!A82,'Additional Input'!$D$36*(1+IF('Additional Input'!$H$36=TRUE,'Additional Input'!$D$13,0))^Projections!A82,0)-IF(('Additional Input'!$K$40)&gt;A82,'Additional Input'!$D$40*(1+IF('Additional Input'!$H$39=TRUE,'Additional Input'!$D$13,0))^A82,0)+IF(('Additional Input'!$F$37-'Additional Input'!$N$9)&lt;=Projections!A82,'Additional Input'!$D$37*(1+IF('Additional Input'!$H$37=TRUE,'Additional Input'!$D$13,0))^IF('Additional Input'!$K$37=TRUE,Projections!A82,Projections!A82-('Additional Input'!$F$37-'Additional Input'!$N$9)),0)+Adjustments!C82)</f>
        <v>0</v>
      </c>
      <c r="O82" s="824">
        <f ca="1">IF(A82&gt;'Additional Input'!$E$11,"",IF(('Additional Input'!$N$9+Projections!$A82)&gt;=IF('Additional Input'!$K$44=TRUE,71,70),VLOOKUP(('Additional Input'!$N$9+Projections!$A82),UniformTable,2),0))</f>
        <v>27.4</v>
      </c>
      <c r="P82" s="825">
        <f ca="1">IF(A82&gt;'Additional Input'!$E$11,"",IF($O82=0,0,$F82/$O82))</f>
        <v>0</v>
      </c>
      <c r="Q82" s="654">
        <f ca="1">IF(A82&gt;'Additional Input'!$E$11,"",IF(IF('Additional Input'!$D$44=TRUE,IF($O82=0,0,$F82/$O82),IF('Additional Input'!$F$45-'Additional Input'!$N$9&lt;=Projections!$A82,IF($F82*(1+$F$4)&lt;'Additional Input'!$D$45*IF('Additional Input'!$H$45=TRUE,(1+'Additional Input'!$D$13)^IF('Additional Input'!$K$45=TRUE,$A82,$A82-('Additional Input'!$F$45-'Additional Input'!$N$9)),1),$F82*(1+$F$4),'Additional Input'!$D$45*IF('Additional Input'!$H$45=TRUE,(1+'Additional Input'!$D$13)^IF('Additional Input'!$K$45=TRUE,$A82,$A82-('Additional Input'!$F$45-'Additional Input'!$N$9)),1)),0))&lt;$P82,$P82,IF('Additional Input'!$D$44=TRUE,IF($O82=0,0,$F82/$O82),IF('Additional Input'!$F$45-'Additional Input'!$N$9&lt;=Projections!$A82,IF($F82*(1+$F$4)&lt;'Additional Input'!$D$45*IF('Additional Input'!$H$45=TRUE,(1+'Additional Input'!$D$13)^IF('Additional Input'!$K$45=TRUE,$A82,$A82-('Additional Input'!$F$45-'Additional Input'!$N$9)),1),$F82*(1+$F$4),'Additional Input'!$D$45*IF('Additional Input'!$H$45=TRUE,(1+'Additional Input'!$D$13)^IF('Additional Input'!$K$45=TRUE,$A82,$A82-('Additional Input'!$F$45-'Additional Input'!$N$9)),1)),0)))+Adjustments!D82)</f>
        <v>0</v>
      </c>
      <c r="R82" s="656">
        <f ca="1">IF(A82&gt;'Additional Input'!$E$11,"",-((N82+Q82)*'Additional Input'!$D$12)+Adjustments!E82)</f>
        <v>0</v>
      </c>
      <c r="S82" s="656">
        <f ca="1">IF(A82&gt;'Additional Input'!$E$11,"",IF($A82&gt;='Additional Input'!$D$19,-'Additional Input'!$D$18*(1+IF('Additional Input'!$F$18=TRUE,'Additional Input'!$D$13,0))^Projections!A82,0)-TaxTables!D41+Adjustments!F82-VLOOKUP(A82,Gifts,6))</f>
        <v>-102000</v>
      </c>
      <c r="T82" s="654">
        <f ca="1">IF(A82&gt;'Additional Input'!$E$11,"",N82+Q82+R82+S82)</f>
        <v>-102000</v>
      </c>
    </row>
    <row r="83" spans="1:20">
      <c r="A83" s="122">
        <f t="shared" si="3"/>
        <v>11</v>
      </c>
      <c r="B83" s="110" t="str">
        <f ca="1">IF(A83&gt;'Additional Input'!$E$11,"",IF('Additional Input'!$N$9="","",'Additional Input'!$N$9+Projections!A83)&amp;"/"&amp;IF('Additional Input'!$O$9="","",IF('Additional Input'!$O$9=0,"",'Additional Input'!$O$9+Projections!A83)))</f>
        <v>71/71</v>
      </c>
      <c r="C83" s="122">
        <f ca="1">IF(A83&gt;'Additional Input'!$E$11,"",+C82+1)</f>
        <v>11</v>
      </c>
      <c r="D83" s="159">
        <f ca="1">IF(A83&gt;'Additional Input'!$E$11,"",($D82*(1+'Additional Input'!$F$26))+$N82+$Q82+$R82+$S82+VLOOKUP(A82,Gifts,6)-VLOOKUP(A83,Gifts,6))</f>
        <v>21729619.892813258</v>
      </c>
      <c r="E83" s="159">
        <f ca="1">IF(A83&gt;'Additional Input'!$E$11,"",E82*(1+'Additional Input'!$F$28))</f>
        <v>0</v>
      </c>
      <c r="F83" s="159">
        <f ca="1">IF(A83&gt;'Additional Input'!$E$11,"",($F82*(1+'Additional Input'!$F$27))-$Q82+IF(('Additional Input'!$K$40)&gt;A82,'Additional Input'!$D$40*(1+IF('Additional Input'!$H$40=TRUE,'Additional Input'!$D$13,0))^A82,0)+IF(('Additional Input'!$K$40)&gt;A82,'Additional Input'!$F$40*(1+IF('Additional Input'!$H$40=TRUE,'Additional Input'!$D$13,0))^A82,0))</f>
        <v>0</v>
      </c>
      <c r="G83" s="646">
        <f ca="1">IF(A83&gt;'Additional Input'!$E$11,"",-VLOOKUP(A83*12,Amortization,2))</f>
        <v>0</v>
      </c>
      <c r="H83" s="159">
        <f ca="1">IF(A83&gt;'Additional Input'!$E$11,"",IF(A83&lt;=Calculator!$F$7,Calculator!$D$7,0)+Calculator!$D$8-IF(A83&gt;3,Calculator!$H$8,0))</f>
        <v>0</v>
      </c>
      <c r="I83" s="159">
        <f ca="1">IF(A83&gt;'Additional Input'!$E$11,"",D83+E83+F83+G83+H83)</f>
        <v>21729619.892813258</v>
      </c>
      <c r="J83" s="646">
        <f ca="1">IF(A83&gt;'Additional Input'!$E$11,"",VLOOKUP(A83,Gifts,11))</f>
        <v>1362190.9519129212</v>
      </c>
      <c r="K83" s="159">
        <f ca="1">IF(A83&gt;'Additional Input'!$E$11,"",IF(A83&gt;3,Calculator!$H$8,0))</f>
        <v>0</v>
      </c>
      <c r="L83" s="159">
        <f ca="1">IF(A83&gt;'Additional Input'!$E$11,"",J83+K83)</f>
        <v>1362190.9519129212</v>
      </c>
      <c r="M83" s="126">
        <f ca="1">IF(A83&gt;'Additional Input'!$E$11,"",(D83*'Additional Input'!$F$26)+(E83*'Additional Input'!$F$28)+(F83*'Additional Input'!$F$27))</f>
        <v>869184.79571253038</v>
      </c>
      <c r="N83" s="856">
        <f ca="1">IF(A83&gt;'Additional Input'!$E$11,"",IF(('Additional Input'!$K$35)&gt;Projections!A83,'Additional Input'!$D$35*(1+IF('Additional Input'!$H$35=TRUE,'Additional Input'!$D$13,0))^Projections!A83,0)+IF(('Additional Input'!$K$36)&gt;Projections!A83,'Additional Input'!$D$36*(1+IF('Additional Input'!$H$36=TRUE,'Additional Input'!$D$13,0))^Projections!A83,0)-IF(('Additional Input'!$K$40)&gt;A83,'Additional Input'!$D$40*(1+IF('Additional Input'!$H$39=TRUE,'Additional Input'!$D$13,0))^A83,0)+IF(('Additional Input'!$F$37-'Additional Input'!$N$9)&lt;=Projections!A83,'Additional Input'!$D$37*(1+IF('Additional Input'!$H$37=TRUE,'Additional Input'!$D$13,0))^IF('Additional Input'!$K$37=TRUE,Projections!A83,Projections!A83-('Additional Input'!$F$37-'Additional Input'!$N$9)),0)+Adjustments!C83)</f>
        <v>0</v>
      </c>
      <c r="O83" s="858">
        <f ca="1">IF(A83&gt;'Additional Input'!$E$11,"",IF(('Additional Input'!$N$9+Projections!$A83)&gt;=IF('Additional Input'!$K$44=TRUE,71,70),VLOOKUP(('Additional Input'!$N$9+Projections!$A83),UniformTable,2),0))</f>
        <v>26.5</v>
      </c>
      <c r="P83" s="859">
        <f ca="1">IF(A83&gt;'Additional Input'!$E$11,"",IF($O83=0,0,$F83/$O83))</f>
        <v>0</v>
      </c>
      <c r="Q83" s="856">
        <f ca="1">IF(A83&gt;'Additional Input'!$E$11,"",IF(IF('Additional Input'!$D$44=TRUE,IF($O83=0,0,$F83/$O83),IF('Additional Input'!$F$45-'Additional Input'!$N$9&lt;=Projections!$A83,IF($F83*(1+$F$4)&lt;'Additional Input'!$D$45*IF('Additional Input'!$H$45=TRUE,(1+'Additional Input'!$D$13)^IF('Additional Input'!$K$45=TRUE,$A83,$A83-('Additional Input'!$F$45-'Additional Input'!$N$9)),1),$F83*(1+$F$4),'Additional Input'!$D$45*IF('Additional Input'!$H$45=TRUE,(1+'Additional Input'!$D$13)^IF('Additional Input'!$K$45=TRUE,$A83,$A83-('Additional Input'!$F$45-'Additional Input'!$N$9)),1)),0))&lt;$P83,$P83,IF('Additional Input'!$D$44=TRUE,IF($O83=0,0,$F83/$O83),IF('Additional Input'!$F$45-'Additional Input'!$N$9&lt;=Projections!$A83,IF($F83*(1+$F$4)&lt;'Additional Input'!$D$45*IF('Additional Input'!$H$45=TRUE,(1+'Additional Input'!$D$13)^IF('Additional Input'!$K$45=TRUE,$A83,$A83-('Additional Input'!$F$45-'Additional Input'!$N$9)),1),$F83*(1+$F$4),'Additional Input'!$D$45*IF('Additional Input'!$H$45=TRUE,(1+'Additional Input'!$D$13)^IF('Additional Input'!$K$45=TRUE,$A83,$A83-('Additional Input'!$F$45-'Additional Input'!$N$9)),1)),0)))+Adjustments!D83)</f>
        <v>0</v>
      </c>
      <c r="R83" s="857">
        <f ca="1">IF(A83&gt;'Additional Input'!$E$11,"",-((N83+Q83)*'Additional Input'!$D$12)+Adjustments!E83)</f>
        <v>0</v>
      </c>
      <c r="S83" s="857">
        <f ca="1">IF(A83&gt;'Additional Input'!$E$11,"",IF($A83&gt;='Additional Input'!$D$19,-'Additional Input'!$D$18*(1+IF('Additional Input'!$F$18=TRUE,'Additional Input'!$D$13,0))^Projections!A83,0)-TaxTables!D42+Adjustments!F83-VLOOKUP(A83,Gifts,6))</f>
        <v>-102000</v>
      </c>
      <c r="T83" s="126">
        <f ca="1">IF(A83&gt;'Additional Input'!$E$11,"",N83+Q83+R83+S83)</f>
        <v>-102000</v>
      </c>
    </row>
    <row r="84" spans="1:20">
      <c r="A84" s="122">
        <f t="shared" si="3"/>
        <v>12</v>
      </c>
      <c r="B84" s="110" t="str">
        <f ca="1">IF(A84&gt;'Additional Input'!$E$11,"",IF('Additional Input'!$N$9="","",'Additional Input'!$N$9+Projections!A84)&amp;"/"&amp;IF('Additional Input'!$O$9="","",IF('Additional Input'!$O$9=0,"",'Additional Input'!$O$9+Projections!A84)))</f>
        <v>72/72</v>
      </c>
      <c r="C84" s="122">
        <f ca="1">IF(A84&gt;'Additional Input'!$E$11,"",+C83+1)</f>
        <v>12</v>
      </c>
      <c r="D84" s="159">
        <f ca="1">IF(A84&gt;'Additional Input'!$E$11,"",($D83*(1+'Additional Input'!$F$26))+$N83+$Q83+$R83+$S83+VLOOKUP(A83,Gifts,6)-VLOOKUP(A84,Gifts,6))</f>
        <v>22496804.688525788</v>
      </c>
      <c r="E84" s="159">
        <f ca="1">IF(A84&gt;'Additional Input'!$E$11,"",E83*(1+'Additional Input'!$F$28))</f>
        <v>0</v>
      </c>
      <c r="F84" s="159">
        <f ca="1">IF(A84&gt;'Additional Input'!$E$11,"",($F83*(1+'Additional Input'!$F$27))-$Q83+IF(('Additional Input'!$K$40)&gt;A83,'Additional Input'!$D$40*(1+IF('Additional Input'!$H$40=TRUE,'Additional Input'!$D$13,0))^A83,0)+IF(('Additional Input'!$K$40)&gt;A83,'Additional Input'!$F$40*(1+IF('Additional Input'!$H$40=TRUE,'Additional Input'!$D$13,0))^A83,0))</f>
        <v>0</v>
      </c>
      <c r="G84" s="646">
        <f ca="1">IF(A84&gt;'Additional Input'!$E$11,"",-VLOOKUP(A84*12,Amortization,2))</f>
        <v>0</v>
      </c>
      <c r="H84" s="159">
        <f ca="1">IF(A84&gt;'Additional Input'!$E$11,"",IF(A84&lt;=Calculator!$F$7,Calculator!$D$7,0)+Calculator!$D$8-IF(A84&gt;3,Calculator!$H$8,0))</f>
        <v>0</v>
      </c>
      <c r="I84" s="159">
        <f ca="1">IF(A84&gt;'Additional Input'!$E$11,"",D84+E84+F84+G84+H84)</f>
        <v>22496804.688525788</v>
      </c>
      <c r="J84" s="646">
        <f ca="1">IF(A84&gt;'Additional Input'!$E$11,"",VLOOKUP(A84,Gifts,11))</f>
        <v>1518678.589989438</v>
      </c>
      <c r="K84" s="159">
        <f ca="1">IF(A84&gt;'Additional Input'!$E$11,"",IF(A84&gt;3,Calculator!$H$8,0))</f>
        <v>0</v>
      </c>
      <c r="L84" s="159">
        <f ca="1">IF(A84&gt;'Additional Input'!$E$11,"",J84+K84)</f>
        <v>1518678.589989438</v>
      </c>
      <c r="M84" s="126">
        <f ca="1">IF(A84&gt;'Additional Input'!$E$11,"",(D84*'Additional Input'!$F$26)+(E84*'Additional Input'!$F$28)+(F84*'Additional Input'!$F$27))</f>
        <v>899872.18754103151</v>
      </c>
      <c r="N84" s="126">
        <f ca="1">IF(A84&gt;'Additional Input'!$E$11,"",IF(('Additional Input'!$K$35)&gt;Projections!A84,'Additional Input'!$D$35*(1+IF('Additional Input'!$H$35=TRUE,'Additional Input'!$D$13,0))^Projections!A84,0)+IF(('Additional Input'!$K$36)&gt;Projections!A84,'Additional Input'!$D$36*(1+IF('Additional Input'!$H$36=TRUE,'Additional Input'!$D$13,0))^Projections!A84,0)-IF(('Additional Input'!$K$40)&gt;A84,'Additional Input'!$D$40*(1+IF('Additional Input'!$H$39=TRUE,'Additional Input'!$D$13,0))^A84,0)+IF(('Additional Input'!$F$37-'Additional Input'!$N$9)&lt;=Projections!A84,'Additional Input'!$D$37*(1+IF('Additional Input'!$H$37=TRUE,'Additional Input'!$D$13,0))^IF('Additional Input'!$K$37=TRUE,Projections!A84,Projections!A84-('Additional Input'!$F$37-'Additional Input'!$N$9)),0)+Adjustments!C84)</f>
        <v>0</v>
      </c>
      <c r="O84" s="823">
        <f ca="1">IF(A84&gt;'Additional Input'!$E$11,"",IF(('Additional Input'!$N$9+Projections!$A84)&gt;=IF('Additional Input'!$K$44=TRUE,71,70),VLOOKUP(('Additional Input'!$N$9+Projections!$A84),UniformTable,2),0))</f>
        <v>25.6</v>
      </c>
      <c r="P84" s="822">
        <f ca="1">IF(A84&gt;'Additional Input'!$E$11,"",IF($O84=0,0,$F84/$O84))</f>
        <v>0</v>
      </c>
      <c r="Q84" s="178">
        <f ca="1">IF(A84&gt;'Additional Input'!$E$11,"",IF(IF('Additional Input'!$D$44=TRUE,IF($O84=0,0,$F84/$O84),IF('Additional Input'!$F$45-'Additional Input'!$N$9&lt;=Projections!$A84,IF($F84*(1+$F$4)&lt;'Additional Input'!$D$45*IF('Additional Input'!$H$45=TRUE,(1+'Additional Input'!$D$13)^IF('Additional Input'!$K$45=TRUE,$A84,$A84-('Additional Input'!$F$45-'Additional Input'!$N$9)),1),$F84*(1+$F$4),'Additional Input'!$D$45*IF('Additional Input'!$H$45=TRUE,(1+'Additional Input'!$D$13)^IF('Additional Input'!$K$45=TRUE,$A84,$A84-('Additional Input'!$F$45-'Additional Input'!$N$9)),1)),0))&lt;$P84,$P84,IF('Additional Input'!$D$44=TRUE,IF($O84=0,0,$F84/$O84),IF('Additional Input'!$F$45-'Additional Input'!$N$9&lt;=Projections!$A84,IF($F84*(1+$F$4)&lt;'Additional Input'!$D$45*IF('Additional Input'!$H$45=TRUE,(1+'Additional Input'!$D$13)^IF('Additional Input'!$K$45=TRUE,$A84,$A84-('Additional Input'!$F$45-'Additional Input'!$N$9)),1),$F84*(1+$F$4),'Additional Input'!$D$45*IF('Additional Input'!$H$45=TRUE,(1+'Additional Input'!$D$13)^IF('Additional Input'!$K$45=TRUE,$A84,$A84-('Additional Input'!$F$45-'Additional Input'!$N$9)),1)),0)))+Adjustments!D84)</f>
        <v>0</v>
      </c>
      <c r="R84" s="571">
        <f ca="1">IF(A84&gt;'Additional Input'!$E$11,"",-((N84+Q84)*'Additional Input'!$D$12)+Adjustments!E84)</f>
        <v>0</v>
      </c>
      <c r="S84" s="571">
        <f ca="1">IF(A84&gt;'Additional Input'!$E$11,"",IF($A84&gt;='Additional Input'!$D$19,-'Additional Input'!$D$18*(1+IF('Additional Input'!$F$18=TRUE,'Additional Input'!$D$13,0))^Projections!A84,0)-TaxTables!D43+Adjustments!F84-VLOOKUP(A84,Gifts,6))</f>
        <v>-102000</v>
      </c>
      <c r="T84" s="126">
        <f ca="1">IF(A84&gt;'Additional Input'!$E$11,"",N84+Q84+R84+S84)</f>
        <v>-102000</v>
      </c>
    </row>
    <row r="85" spans="1:20">
      <c r="A85" s="122">
        <f t="shared" si="3"/>
        <v>13</v>
      </c>
      <c r="B85" s="110" t="str">
        <f ca="1">IF(A85&gt;'Additional Input'!$E$11,"",IF('Additional Input'!$N$9="","",'Additional Input'!$N$9+Projections!A85)&amp;"/"&amp;IF('Additional Input'!$O$9="","",IF('Additional Input'!$O$9=0,"",'Additional Input'!$O$9+Projections!A85)))</f>
        <v>73/73</v>
      </c>
      <c r="C85" s="122">
        <f ca="1">IF(A85&gt;'Additional Input'!$E$11,"",+C84+1)</f>
        <v>13</v>
      </c>
      <c r="D85" s="159">
        <f ca="1">IF(A85&gt;'Additional Input'!$E$11,"",($D84*(1+'Additional Input'!$F$26))+$N84+$Q84+$R84+$S84+VLOOKUP(A84,Gifts,6)-VLOOKUP(A85,Gifts,6))</f>
        <v>23288676.876066823</v>
      </c>
      <c r="E85" s="159">
        <f ca="1">IF(A85&gt;'Additional Input'!$E$11,"",E84*(1+'Additional Input'!$F$28))</f>
        <v>0</v>
      </c>
      <c r="F85" s="159">
        <f ca="1">IF(A85&gt;'Additional Input'!$E$11,"",($F84*(1+'Additional Input'!$F$27))-$Q84+IF(('Additional Input'!$K$40)&gt;A84,'Additional Input'!$D$40*(1+IF('Additional Input'!$H$40=TRUE,'Additional Input'!$D$13,0))^A84,0)+IF(('Additional Input'!$K$40)&gt;A84,'Additional Input'!$F$40*(1+IF('Additional Input'!$H$40=TRUE,'Additional Input'!$D$13,0))^A84,0))</f>
        <v>0</v>
      </c>
      <c r="G85" s="646">
        <f ca="1">IF(A85&gt;'Additional Input'!$E$11,"",-VLOOKUP(A85*12,Amortization,2))</f>
        <v>0</v>
      </c>
      <c r="H85" s="159">
        <f ca="1">IF(A85&gt;'Additional Input'!$E$11,"",IF(A85&lt;=Calculator!$F$7,Calculator!$D$7,0)+Calculator!$D$8-IF(A85&gt;3,Calculator!$H$8,0))</f>
        <v>0</v>
      </c>
      <c r="I85" s="159">
        <f ca="1">IF(A85&gt;'Additional Input'!$E$11,"",D85+E85+F85+G85+H85)</f>
        <v>23288676.876066823</v>
      </c>
      <c r="J85" s="646">
        <f ca="1">IF(A85&gt;'Additional Input'!$E$11,"",VLOOKUP(A85,Gifts,11))</f>
        <v>1687425.7335890154</v>
      </c>
      <c r="K85" s="159">
        <f ca="1">IF(A85&gt;'Additional Input'!$E$11,"",IF(A85&gt;3,Calculator!$H$8,0))</f>
        <v>0</v>
      </c>
      <c r="L85" s="159">
        <f ca="1">IF(A85&gt;'Additional Input'!$E$11,"",J85+K85)</f>
        <v>1687425.7335890154</v>
      </c>
      <c r="M85" s="126">
        <f ca="1">IF(A85&gt;'Additional Input'!$E$11,"",(D85*'Additional Input'!$F$26)+(E85*'Additional Input'!$F$28)+(F85*'Additional Input'!$F$27))</f>
        <v>931547.07504267292</v>
      </c>
      <c r="N85" s="126">
        <f ca="1">IF(A85&gt;'Additional Input'!$E$11,"",IF(('Additional Input'!$K$35)&gt;Projections!A85,'Additional Input'!$D$35*(1+IF('Additional Input'!$H$35=TRUE,'Additional Input'!$D$13,0))^Projections!A85,0)+IF(('Additional Input'!$K$36)&gt;Projections!A85,'Additional Input'!$D$36*(1+IF('Additional Input'!$H$36=TRUE,'Additional Input'!$D$13,0))^Projections!A85,0)-IF(('Additional Input'!$K$40)&gt;A85,'Additional Input'!$D$40*(1+IF('Additional Input'!$H$39=TRUE,'Additional Input'!$D$13,0))^A85,0)+IF(('Additional Input'!$F$37-'Additional Input'!$N$9)&lt;=Projections!A85,'Additional Input'!$D$37*(1+IF('Additional Input'!$H$37=TRUE,'Additional Input'!$D$13,0))^IF('Additional Input'!$K$37=TRUE,Projections!A85,Projections!A85-('Additional Input'!$F$37-'Additional Input'!$N$9)),0)+Adjustments!C85)</f>
        <v>0</v>
      </c>
      <c r="O85" s="823">
        <f ca="1">IF(A85&gt;'Additional Input'!$E$11,"",IF(('Additional Input'!$N$9+Projections!$A85)&gt;=IF('Additional Input'!$K$44=TRUE,71,70),VLOOKUP(('Additional Input'!$N$9+Projections!$A85),UniformTable,2),0))</f>
        <v>24.7</v>
      </c>
      <c r="P85" s="822">
        <f ca="1">IF(A85&gt;'Additional Input'!$E$11,"",IF($O85=0,0,$F85/$O85))</f>
        <v>0</v>
      </c>
      <c r="Q85" s="178">
        <f ca="1">IF(A85&gt;'Additional Input'!$E$11,"",IF(IF('Additional Input'!$D$44=TRUE,IF($O85=0,0,$F85/$O85),IF('Additional Input'!$F$45-'Additional Input'!$N$9&lt;=Projections!$A85,IF($F85*(1+$F$4)&lt;'Additional Input'!$D$45*IF('Additional Input'!$H$45=TRUE,(1+'Additional Input'!$D$13)^IF('Additional Input'!$K$45=TRUE,$A85,$A85-('Additional Input'!$F$45-'Additional Input'!$N$9)),1),$F85*(1+$F$4),'Additional Input'!$D$45*IF('Additional Input'!$H$45=TRUE,(1+'Additional Input'!$D$13)^IF('Additional Input'!$K$45=TRUE,$A85,$A85-('Additional Input'!$F$45-'Additional Input'!$N$9)),1)),0))&lt;$P85,$P85,IF('Additional Input'!$D$44=TRUE,IF($O85=0,0,$F85/$O85),IF('Additional Input'!$F$45-'Additional Input'!$N$9&lt;=Projections!$A85,IF($F85*(1+$F$4)&lt;'Additional Input'!$D$45*IF('Additional Input'!$H$45=TRUE,(1+'Additional Input'!$D$13)^IF('Additional Input'!$K$45=TRUE,$A85,$A85-('Additional Input'!$F$45-'Additional Input'!$N$9)),1),$F85*(1+$F$4),'Additional Input'!$D$45*IF('Additional Input'!$H$45=TRUE,(1+'Additional Input'!$D$13)^IF('Additional Input'!$K$45=TRUE,$A85,$A85-('Additional Input'!$F$45-'Additional Input'!$N$9)),1)),0)))+Adjustments!D85)</f>
        <v>0</v>
      </c>
      <c r="R85" s="571">
        <f ca="1">IF(A85&gt;'Additional Input'!$E$11,"",-((N85+Q85)*'Additional Input'!$D$12)+Adjustments!E85)</f>
        <v>0</v>
      </c>
      <c r="S85" s="571">
        <f ca="1">IF(A85&gt;'Additional Input'!$E$11,"",IF($A85&gt;='Additional Input'!$D$19,-'Additional Input'!$D$18*(1+IF('Additional Input'!$F$18=TRUE,'Additional Input'!$D$13,0))^Projections!A85,0)-TaxTables!D44+Adjustments!F85-VLOOKUP(A85,Gifts,6))</f>
        <v>-108000</v>
      </c>
      <c r="T85" s="126">
        <f ca="1">IF(A85&gt;'Additional Input'!$E$11,"",N85+Q85+R85+S85)</f>
        <v>-108000</v>
      </c>
    </row>
    <row r="86" spans="1:20">
      <c r="A86" s="122">
        <f t="shared" si="3"/>
        <v>14</v>
      </c>
      <c r="B86" s="110" t="str">
        <f ca="1">IF(A86&gt;'Additional Input'!$E$11,"",IF('Additional Input'!$N$9="","",'Additional Input'!$N$9+Projections!A86)&amp;"/"&amp;IF('Additional Input'!$O$9="","",IF('Additional Input'!$O$9=0,"",'Additional Input'!$O$9+Projections!A86)))</f>
        <v>74/74</v>
      </c>
      <c r="C86" s="122">
        <f ca="1">IF(A86&gt;'Additional Input'!$E$11,"",+C85+1)</f>
        <v>14</v>
      </c>
      <c r="D86" s="159">
        <f ca="1">IF(A86&gt;'Additional Input'!$E$11,"",($D85*(1+'Additional Input'!$F$26))+$N85+$Q85+$R85+$S85+VLOOKUP(A85,Gifts,6)-VLOOKUP(A86,Gifts,6))</f>
        <v>24112223.951109495</v>
      </c>
      <c r="E86" s="159">
        <f ca="1">IF(A86&gt;'Additional Input'!$E$11,"",E85*(1+'Additional Input'!$F$28))</f>
        <v>0</v>
      </c>
      <c r="F86" s="159">
        <f ca="1">IF(A86&gt;'Additional Input'!$E$11,"",($F85*(1+'Additional Input'!$F$27))-$Q85+IF(('Additional Input'!$K$40)&gt;A85,'Additional Input'!$D$40*(1+IF('Additional Input'!$H$40=TRUE,'Additional Input'!$D$13,0))^A85,0)+IF(('Additional Input'!$K$40)&gt;A85,'Additional Input'!$F$40*(1+IF('Additional Input'!$H$40=TRUE,'Additional Input'!$D$13,0))^A85,0))</f>
        <v>0</v>
      </c>
      <c r="G86" s="646">
        <f ca="1">IF(A86&gt;'Additional Input'!$E$11,"",-VLOOKUP(A86*12,Amortization,2))</f>
        <v>0</v>
      </c>
      <c r="H86" s="159">
        <f ca="1">IF(A86&gt;'Additional Input'!$E$11,"",IF(A86&lt;=Calculator!$F$7,Calculator!$D$7,0)+Calculator!$D$8-IF(A86&gt;3,Calculator!$H$8,0))</f>
        <v>0</v>
      </c>
      <c r="I86" s="159">
        <f ca="1">IF(A86&gt;'Additional Input'!$E$11,"",D86+E86+F86+G86+H86)</f>
        <v>24112223.951109495</v>
      </c>
      <c r="J86" s="646">
        <f ca="1">IF(A86&gt;'Additional Input'!$E$11,"",VLOOKUP(A86,Gifts,11))</f>
        <v>1862922.762932576</v>
      </c>
      <c r="K86" s="159">
        <f ca="1">IF(A86&gt;'Additional Input'!$E$11,"",IF(A86&gt;3,Calculator!$H$8,0))</f>
        <v>0</v>
      </c>
      <c r="L86" s="159">
        <f ca="1">IF(A86&gt;'Additional Input'!$E$11,"",J86+K86)</f>
        <v>1862922.762932576</v>
      </c>
      <c r="M86" s="126">
        <f ca="1">IF(A86&gt;'Additional Input'!$E$11,"",(D86*'Additional Input'!$F$26)+(E86*'Additional Input'!$F$28)+(F86*'Additional Input'!$F$27))</f>
        <v>964488.95804437983</v>
      </c>
      <c r="N86" s="126">
        <f ca="1">IF(A86&gt;'Additional Input'!$E$11,"",IF(('Additional Input'!$K$35)&gt;Projections!A86,'Additional Input'!$D$35*(1+IF('Additional Input'!$H$35=TRUE,'Additional Input'!$D$13,0))^Projections!A86,0)+IF(('Additional Input'!$K$36)&gt;Projections!A86,'Additional Input'!$D$36*(1+IF('Additional Input'!$H$36=TRUE,'Additional Input'!$D$13,0))^Projections!A86,0)-IF(('Additional Input'!$K$40)&gt;A86,'Additional Input'!$D$40*(1+IF('Additional Input'!$H$39=TRUE,'Additional Input'!$D$13,0))^A86,0)+IF(('Additional Input'!$F$37-'Additional Input'!$N$9)&lt;=Projections!A86,'Additional Input'!$D$37*(1+IF('Additional Input'!$H$37=TRUE,'Additional Input'!$D$13,0))^IF('Additional Input'!$K$37=TRUE,Projections!A86,Projections!A86-('Additional Input'!$F$37-'Additional Input'!$N$9)),0)+Adjustments!C86)</f>
        <v>0</v>
      </c>
      <c r="O86" s="823">
        <f ca="1">IF(A86&gt;'Additional Input'!$E$11,"",IF(('Additional Input'!$N$9+Projections!$A86)&gt;=IF('Additional Input'!$K$44=TRUE,71,70),VLOOKUP(('Additional Input'!$N$9+Projections!$A86),UniformTable,2),0))</f>
        <v>23.8</v>
      </c>
      <c r="P86" s="822">
        <f ca="1">IF(A86&gt;'Additional Input'!$E$11,"",IF($O86=0,0,$F86/$O86))</f>
        <v>0</v>
      </c>
      <c r="Q86" s="178">
        <f ca="1">IF(A86&gt;'Additional Input'!$E$11,"",IF(IF('Additional Input'!$D$44=TRUE,IF($O86=0,0,$F86/$O86),IF('Additional Input'!$F$45-'Additional Input'!$N$9&lt;=Projections!$A86,IF($F86*(1+$F$4)&lt;'Additional Input'!$D$45*IF('Additional Input'!$H$45=TRUE,(1+'Additional Input'!$D$13)^IF('Additional Input'!$K$45=TRUE,$A86,$A86-('Additional Input'!$F$45-'Additional Input'!$N$9)),1),$F86*(1+$F$4),'Additional Input'!$D$45*IF('Additional Input'!$H$45=TRUE,(1+'Additional Input'!$D$13)^IF('Additional Input'!$K$45=TRUE,$A86,$A86-('Additional Input'!$F$45-'Additional Input'!$N$9)),1)),0))&lt;$P86,$P86,IF('Additional Input'!$D$44=TRUE,IF($O86=0,0,$F86/$O86),IF('Additional Input'!$F$45-'Additional Input'!$N$9&lt;=Projections!$A86,IF($F86*(1+$F$4)&lt;'Additional Input'!$D$45*IF('Additional Input'!$H$45=TRUE,(1+'Additional Input'!$D$13)^IF('Additional Input'!$K$45=TRUE,$A86,$A86-('Additional Input'!$F$45-'Additional Input'!$N$9)),1),$F86*(1+$F$4),'Additional Input'!$D$45*IF('Additional Input'!$H$45=TRUE,(1+'Additional Input'!$D$13)^IF('Additional Input'!$K$45=TRUE,$A86,$A86-('Additional Input'!$F$45-'Additional Input'!$N$9)),1)),0)))+Adjustments!D86)</f>
        <v>0</v>
      </c>
      <c r="R86" s="571">
        <f ca="1">IF(A86&gt;'Additional Input'!$E$11,"",-((N86+Q86)*'Additional Input'!$D$12)+Adjustments!E86)</f>
        <v>0</v>
      </c>
      <c r="S86" s="571">
        <f ca="1">IF(A86&gt;'Additional Input'!$E$11,"",IF($A86&gt;='Additional Input'!$D$19,-'Additional Input'!$D$18*(1+IF('Additional Input'!$F$18=TRUE,'Additional Input'!$D$13,0))^Projections!A86,0)-TaxTables!D45+Adjustments!F86-VLOOKUP(A86,Gifts,6))</f>
        <v>-108000</v>
      </c>
      <c r="T86" s="126">
        <f ca="1">IF(A86&gt;'Additional Input'!$E$11,"",N86+Q86+R86+S86)</f>
        <v>-108000</v>
      </c>
    </row>
    <row r="87" spans="1:20">
      <c r="A87" s="657">
        <f t="shared" si="3"/>
        <v>15</v>
      </c>
      <c r="B87" s="651" t="str">
        <f ca="1">IF(A87&gt;'Additional Input'!$E$11,"",IF('Additional Input'!$N$9="","",'Additional Input'!$N$9+Projections!A87)&amp;"/"&amp;IF('Additional Input'!$O$9="","",IF('Additional Input'!$O$9=0,"",'Additional Input'!$O$9+Projections!A87)))</f>
        <v>75/75</v>
      </c>
      <c r="C87" s="650">
        <f ca="1">IF(A87&gt;'Additional Input'!$E$11,"",+C86+1)</f>
        <v>15</v>
      </c>
      <c r="D87" s="652">
        <f ca="1">IF(A87&gt;'Additional Input'!$E$11,"",($D86*(1+'Additional Input'!$F$26))+$N86+$Q86+$R86+$S86+VLOOKUP(A86,Gifts,6)-VLOOKUP(A87,Gifts,6))</f>
        <v>24968712.909153875</v>
      </c>
      <c r="E87" s="653">
        <f ca="1">IF(A87&gt;'Additional Input'!$E$11,"",E86*(1+'Additional Input'!$F$28))</f>
        <v>0</v>
      </c>
      <c r="F87" s="653">
        <f ca="1">IF(A87&gt;'Additional Input'!$E$11,"",($F86*(1+'Additional Input'!$F$27))-$Q86+IF(('Additional Input'!$K$40)&gt;A86,'Additional Input'!$D$40*(1+IF('Additional Input'!$H$40=TRUE,'Additional Input'!$D$13,0))^A86,0)+IF(('Additional Input'!$K$40)&gt;A86,'Additional Input'!$F$40*(1+IF('Additional Input'!$H$40=TRUE,'Additional Input'!$D$13,0))^A86,0))</f>
        <v>0</v>
      </c>
      <c r="G87" s="853">
        <f ca="1">IF(A87&gt;'Additional Input'!$E$11,"",-VLOOKUP(A87*12,Amortization,2))</f>
        <v>0</v>
      </c>
      <c r="H87" s="652">
        <f ca="1">IF(A87&gt;'Additional Input'!$E$11,"",IF(A87&lt;=Calculator!$F$7,Calculator!$D$7,0)+Calculator!$D$8-IF(A87&gt;3,Calculator!$H$8,0))</f>
        <v>0</v>
      </c>
      <c r="I87" s="652">
        <f ca="1">IF(A87&gt;'Additional Input'!$E$11,"",D87+E87+F87+G87+H87)</f>
        <v>24968712.909153875</v>
      </c>
      <c r="J87" s="720">
        <f ca="1">IF(A87&gt;'Additional Input'!$E$11,"",VLOOKUP(A87,Gifts,11))</f>
        <v>2045439.673449879</v>
      </c>
      <c r="K87" s="721">
        <f ca="1">IF(A87&gt;'Additional Input'!$E$11,"",IF(A87&gt;3,Calculator!$H$8,0))</f>
        <v>0</v>
      </c>
      <c r="L87" s="652">
        <f ca="1">IF(A87&gt;'Additional Input'!$E$11,"",J87+K87)</f>
        <v>2045439.673449879</v>
      </c>
      <c r="M87" s="654">
        <f ca="1">IF(A87&gt;'Additional Input'!$E$11,"",(D87*'Additional Input'!$F$26)+(E87*'Additional Input'!$F$28)+(F87*'Additional Input'!$F$27))</f>
        <v>998748.516366155</v>
      </c>
      <c r="N87" s="654">
        <f ca="1">IF(A87&gt;'Additional Input'!$E$11,"",IF(('Additional Input'!$K$35)&gt;Projections!A87,'Additional Input'!$D$35*(1+IF('Additional Input'!$H$35=TRUE,'Additional Input'!$D$13,0))^Projections!A87,0)+IF(('Additional Input'!$K$36)&gt;Projections!A87,'Additional Input'!$D$36*(1+IF('Additional Input'!$H$36=TRUE,'Additional Input'!$D$13,0))^Projections!A87,0)-IF(('Additional Input'!$K$40)&gt;A87,'Additional Input'!$D$40*(1+IF('Additional Input'!$H$39=TRUE,'Additional Input'!$D$13,0))^A87,0)+IF(('Additional Input'!$F$37-'Additional Input'!$N$9)&lt;=Projections!A87,'Additional Input'!$D$37*(1+IF('Additional Input'!$H$37=TRUE,'Additional Input'!$D$13,0))^IF('Additional Input'!$K$37=TRUE,Projections!A87,Projections!A87-('Additional Input'!$F$37-'Additional Input'!$N$9)),0)+Adjustments!C87)</f>
        <v>0</v>
      </c>
      <c r="O87" s="824">
        <f ca="1">IF(A87&gt;'Additional Input'!$E$11,"",IF(('Additional Input'!$N$9+Projections!$A87)&gt;=IF('Additional Input'!$K$44=TRUE,71,70),VLOOKUP(('Additional Input'!$N$9+Projections!$A87),UniformTable,2),0))</f>
        <v>22.9</v>
      </c>
      <c r="P87" s="825">
        <f ca="1">IF(A87&gt;'Additional Input'!$E$11,"",IF($O87=0,0,$F87/$O87))</f>
        <v>0</v>
      </c>
      <c r="Q87" s="654">
        <f ca="1">IF(A87&gt;'Additional Input'!$E$11,"",IF(IF('Additional Input'!$D$44=TRUE,IF($O87=0,0,$F87/$O87),IF('Additional Input'!$F$45-'Additional Input'!$N$9&lt;=Projections!$A87,IF($F87*(1+$F$4)&lt;'Additional Input'!$D$45*IF('Additional Input'!$H$45=TRUE,(1+'Additional Input'!$D$13)^IF('Additional Input'!$K$45=TRUE,$A87,$A87-('Additional Input'!$F$45-'Additional Input'!$N$9)),1),$F87*(1+$F$4),'Additional Input'!$D$45*IF('Additional Input'!$H$45=TRUE,(1+'Additional Input'!$D$13)^IF('Additional Input'!$K$45=TRUE,$A87,$A87-('Additional Input'!$F$45-'Additional Input'!$N$9)),1)),0))&lt;$P87,$P87,IF('Additional Input'!$D$44=TRUE,IF($O87=0,0,$F87/$O87),IF('Additional Input'!$F$45-'Additional Input'!$N$9&lt;=Projections!$A87,IF($F87*(1+$F$4)&lt;'Additional Input'!$D$45*IF('Additional Input'!$H$45=TRUE,(1+'Additional Input'!$D$13)^IF('Additional Input'!$K$45=TRUE,$A87,$A87-('Additional Input'!$F$45-'Additional Input'!$N$9)),1),$F87*(1+$F$4),'Additional Input'!$D$45*IF('Additional Input'!$H$45=TRUE,(1+'Additional Input'!$D$13)^IF('Additional Input'!$K$45=TRUE,$A87,$A87-('Additional Input'!$F$45-'Additional Input'!$N$9)),1)),0)))+Adjustments!D87)</f>
        <v>0</v>
      </c>
      <c r="R87" s="656">
        <f ca="1">IF(A87&gt;'Additional Input'!$E$11,"",-((N87+Q87)*'Additional Input'!$D$12)+Adjustments!E87)</f>
        <v>0</v>
      </c>
      <c r="S87" s="656">
        <f ca="1">IF(A87&gt;'Additional Input'!$E$11,"",IF($A87&gt;='Additional Input'!$D$19,-'Additional Input'!$D$18*(1+IF('Additional Input'!$F$18=TRUE,'Additional Input'!$D$13,0))^Projections!A87,0)-TaxTables!D46+Adjustments!F87-VLOOKUP(A87,Gifts,6))</f>
        <v>-108000</v>
      </c>
      <c r="T87" s="654">
        <f ca="1">IF(A87&gt;'Additional Input'!$E$11,"",N87+Q87+R87+S87)</f>
        <v>-108000</v>
      </c>
    </row>
    <row r="88" spans="1:20">
      <c r="A88" s="122">
        <f t="shared" si="3"/>
        <v>16</v>
      </c>
      <c r="B88" s="110" t="str">
        <f ca="1">IF(A88&gt;'Additional Input'!$E$11,"",IF('Additional Input'!$N$9="","",'Additional Input'!$N$9+Projections!A88)&amp;"/"&amp;IF('Additional Input'!$O$9="","",IF('Additional Input'!$O$9=0,"",'Additional Input'!$O$9+Projections!A88)))</f>
        <v>76/76</v>
      </c>
      <c r="C88" s="122">
        <f ca="1">IF(A88&gt;'Additional Input'!$E$11,"",+C87+1)</f>
        <v>16</v>
      </c>
      <c r="D88" s="159">
        <f ca="1">IF(A88&gt;'Additional Input'!$E$11,"",($D87*(1+'Additional Input'!$F$26))+$N87+$Q87+$R87+$S87+VLOOKUP(A87,Gifts,6)-VLOOKUP(A88,Gifts,6))</f>
        <v>25853461.425520033</v>
      </c>
      <c r="E88" s="159">
        <f ca="1">IF(A88&gt;'Additional Input'!$E$11,"",E87*(1+'Additional Input'!$F$28))</f>
        <v>0</v>
      </c>
      <c r="F88" s="159">
        <f ca="1">IF(A88&gt;'Additional Input'!$E$11,"",($F87*(1+'Additional Input'!$F$27))-$Q87+IF(('Additional Input'!$K$40)&gt;A87,'Additional Input'!$D$40*(1+IF('Additional Input'!$H$40=TRUE,'Additional Input'!$D$13,0))^A87,0)+IF(('Additional Input'!$K$40)&gt;A87,'Additional Input'!$F$40*(1+IF('Additional Input'!$H$40=TRUE,'Additional Input'!$D$13,0))^A87,0))</f>
        <v>0</v>
      </c>
      <c r="G88" s="646">
        <f ca="1">IF(A88&gt;'Additional Input'!$E$11,"",-VLOOKUP(A88*12,Amortization,2))</f>
        <v>0</v>
      </c>
      <c r="H88" s="159">
        <f ca="1">IF(A88&gt;'Additional Input'!$E$11,"",IF(A88&lt;=Calculator!$F$7,Calculator!$D$7,0)+Calculator!$D$8-IF(A88&gt;3,Calculator!$H$8,0))</f>
        <v>0</v>
      </c>
      <c r="I88" s="159">
        <f ca="1">IF(A88&gt;'Additional Input'!$E$11,"",D88+E88+F88+G88+H88)</f>
        <v>25853461.425520033</v>
      </c>
      <c r="J88" s="646">
        <f ca="1">IF(A88&gt;'Additional Input'!$E$11,"",VLOOKUP(A88,Gifts,11))</f>
        <v>2241257.2603878742</v>
      </c>
      <c r="K88" s="159">
        <f ca="1">IF(A88&gt;'Additional Input'!$E$11,"",IF(A88&gt;3,Calculator!$H$8,0))</f>
        <v>0</v>
      </c>
      <c r="L88" s="159">
        <f ca="1">IF(A88&gt;'Additional Input'!$E$11,"",J88+K88)</f>
        <v>2241257.2603878742</v>
      </c>
      <c r="M88" s="126">
        <f ca="1">IF(A88&gt;'Additional Input'!$E$11,"",(D88*'Additional Input'!$F$26)+(E88*'Additional Input'!$F$28)+(F88*'Additional Input'!$F$27))</f>
        <v>1034138.4570208014</v>
      </c>
      <c r="N88" s="126">
        <f ca="1">IF(A88&gt;'Additional Input'!$E$11,"",IF(('Additional Input'!$K$35)&gt;Projections!A88,'Additional Input'!$D$35*(1+IF('Additional Input'!$H$35=TRUE,'Additional Input'!$D$13,0))^Projections!A88,0)+IF(('Additional Input'!$K$36)&gt;Projections!A88,'Additional Input'!$D$36*(1+IF('Additional Input'!$H$36=TRUE,'Additional Input'!$D$13,0))^Projections!A88,0)-IF(('Additional Input'!$K$40)&gt;A88,'Additional Input'!$D$40*(1+IF('Additional Input'!$H$39=TRUE,'Additional Input'!$D$13,0))^A88,0)+IF(('Additional Input'!$F$37-'Additional Input'!$N$9)&lt;=Projections!A88,'Additional Input'!$D$37*(1+IF('Additional Input'!$H$37=TRUE,'Additional Input'!$D$13,0))^IF('Additional Input'!$K$37=TRUE,Projections!A88,Projections!A88-('Additional Input'!$F$37-'Additional Input'!$N$9)),0)+Adjustments!C88)</f>
        <v>0</v>
      </c>
      <c r="O88" s="823">
        <f ca="1">IF(A88&gt;'Additional Input'!$E$11,"",IF(('Additional Input'!$N$9+Projections!$A88)&gt;=IF('Additional Input'!$K$44=TRUE,71,70),VLOOKUP(('Additional Input'!$N$9+Projections!$A88),UniformTable,2),0))</f>
        <v>22</v>
      </c>
      <c r="P88" s="822">
        <f ca="1">IF(A88&gt;'Additional Input'!$E$11,"",IF($O88=0,0,$F88/$O88))</f>
        <v>0</v>
      </c>
      <c r="Q88" s="178">
        <f ca="1">IF(A88&gt;'Additional Input'!$E$11,"",IF(IF('Additional Input'!$D$44=TRUE,IF($O88=0,0,$F88/$O88),IF('Additional Input'!$F$45-'Additional Input'!$N$9&lt;=Projections!$A88,IF($F88*(1+$F$4)&lt;'Additional Input'!$D$45*IF('Additional Input'!$H$45=TRUE,(1+'Additional Input'!$D$13)^IF('Additional Input'!$K$45=TRUE,$A88,$A88-('Additional Input'!$F$45-'Additional Input'!$N$9)),1),$F88*(1+$F$4),'Additional Input'!$D$45*IF('Additional Input'!$H$45=TRUE,(1+'Additional Input'!$D$13)^IF('Additional Input'!$K$45=TRUE,$A88,$A88-('Additional Input'!$F$45-'Additional Input'!$N$9)),1)),0))&lt;$P88,$P88,IF('Additional Input'!$D$44=TRUE,IF($O88=0,0,$F88/$O88),IF('Additional Input'!$F$45-'Additional Input'!$N$9&lt;=Projections!$A88,IF($F88*(1+$F$4)&lt;'Additional Input'!$D$45*IF('Additional Input'!$H$45=TRUE,(1+'Additional Input'!$D$13)^IF('Additional Input'!$K$45=TRUE,$A88,$A88-('Additional Input'!$F$45-'Additional Input'!$N$9)),1),$F88*(1+$F$4),'Additional Input'!$D$45*IF('Additional Input'!$H$45=TRUE,(1+'Additional Input'!$D$13)^IF('Additional Input'!$K$45=TRUE,$A88,$A88-('Additional Input'!$F$45-'Additional Input'!$N$9)),1)),0)))+Adjustments!D88)</f>
        <v>0</v>
      </c>
      <c r="R88" s="571">
        <f ca="1">IF(A88&gt;'Additional Input'!$E$11,"",-((N88+Q88)*'Additional Input'!$D$12)+Adjustments!E88)</f>
        <v>0</v>
      </c>
      <c r="S88" s="571">
        <f ca="1">IF(A88&gt;'Additional Input'!$E$11,"",IF($A88&gt;='Additional Input'!$D$19,-'Additional Input'!$D$18*(1+IF('Additional Input'!$F$18=TRUE,'Additional Input'!$D$13,0))^Projections!A88,0)-TaxTables!D47+Adjustments!F88-VLOOKUP(A88,Gifts,6))</f>
        <v>-114000</v>
      </c>
      <c r="T88" s="126">
        <f ca="1">IF(A88&gt;'Additional Input'!$E$11,"",N88+Q88+R88+S88)</f>
        <v>-114000</v>
      </c>
    </row>
    <row r="89" spans="1:20">
      <c r="A89" s="122">
        <f t="shared" si="3"/>
        <v>17</v>
      </c>
      <c r="B89" s="110" t="str">
        <f ca="1">IF(A89&gt;'Additional Input'!$E$11,"",IF('Additional Input'!$N$9="","",'Additional Input'!$N$9+Projections!A89)&amp;"/"&amp;IF('Additional Input'!$O$9="","",IF('Additional Input'!$O$9=0,"",'Additional Input'!$O$9+Projections!A89)))</f>
        <v>77/77</v>
      </c>
      <c r="C89" s="122">
        <f ca="1">IF(A89&gt;'Additional Input'!$E$11,"",+C88+1)</f>
        <v>17</v>
      </c>
      <c r="D89" s="159">
        <f ca="1">IF(A89&gt;'Additional Input'!$E$11,"",($D88*(1+'Additional Input'!$F$26))+$N88+$Q88+$R88+$S88+VLOOKUP(A88,Gifts,6)-VLOOKUP(A89,Gifts,6))</f>
        <v>26773599.882540833</v>
      </c>
      <c r="E89" s="159">
        <f ca="1">IF(A89&gt;'Additional Input'!$E$11,"",E88*(1+'Additional Input'!$F$28))</f>
        <v>0</v>
      </c>
      <c r="F89" s="159">
        <f ca="1">IF(A89&gt;'Additional Input'!$E$11,"",($F88*(1+'Additional Input'!$F$27))-$Q88+IF(('Additional Input'!$K$40)&gt;A88,'Additional Input'!$D$40*(1+IF('Additional Input'!$H$40=TRUE,'Additional Input'!$D$13,0))^A88,0)+IF(('Additional Input'!$K$40)&gt;A88,'Additional Input'!$F$40*(1+IF('Additional Input'!$H$40=TRUE,'Additional Input'!$D$13,0))^A88,0))</f>
        <v>0</v>
      </c>
      <c r="G89" s="646">
        <f ca="1">IF(A89&gt;'Additional Input'!$E$11,"",-VLOOKUP(A89*12,Amortization,2))</f>
        <v>0</v>
      </c>
      <c r="H89" s="159">
        <f ca="1">IF(A89&gt;'Additional Input'!$E$11,"",IF(A89&lt;=Calculator!$F$7,Calculator!$D$7,0)+Calculator!$D$8-IF(A89&gt;3,Calculator!$H$8,0))</f>
        <v>0</v>
      </c>
      <c r="I89" s="159">
        <f ca="1">IF(A89&gt;'Additional Input'!$E$11,"",D89+E89+F89+G89+H89)</f>
        <v>26773599.882540833</v>
      </c>
      <c r="J89" s="646">
        <f ca="1">IF(A89&gt;'Additional Input'!$E$11,"",VLOOKUP(A89,Gifts,11))</f>
        <v>2444907.5508033894</v>
      </c>
      <c r="K89" s="159">
        <f ca="1">IF(A89&gt;'Additional Input'!$E$11,"",IF(A89&gt;3,Calculator!$H$8,0))</f>
        <v>0</v>
      </c>
      <c r="L89" s="159">
        <f ca="1">IF(A89&gt;'Additional Input'!$E$11,"",J89+K89)</f>
        <v>2444907.5508033894</v>
      </c>
      <c r="M89" s="126">
        <f ca="1">IF(A89&gt;'Additional Input'!$E$11,"",(D89*'Additional Input'!$F$26)+(E89*'Additional Input'!$F$28)+(F89*'Additional Input'!$F$27))</f>
        <v>1070943.9953016334</v>
      </c>
      <c r="N89" s="126">
        <f ca="1">IF(A89&gt;'Additional Input'!$E$11,"",IF(('Additional Input'!$K$35)&gt;Projections!A89,'Additional Input'!$D$35*(1+IF('Additional Input'!$H$35=TRUE,'Additional Input'!$D$13,0))^Projections!A89,0)+IF(('Additional Input'!$K$36)&gt;Projections!A89,'Additional Input'!$D$36*(1+IF('Additional Input'!$H$36=TRUE,'Additional Input'!$D$13,0))^Projections!A89,0)-IF(('Additional Input'!$K$40)&gt;A89,'Additional Input'!$D$40*(1+IF('Additional Input'!$H$39=TRUE,'Additional Input'!$D$13,0))^A89,0)+IF(('Additional Input'!$F$37-'Additional Input'!$N$9)&lt;=Projections!A89,'Additional Input'!$D$37*(1+IF('Additional Input'!$H$37=TRUE,'Additional Input'!$D$13,0))^IF('Additional Input'!$K$37=TRUE,Projections!A89,Projections!A89-('Additional Input'!$F$37-'Additional Input'!$N$9)),0)+Adjustments!C89)</f>
        <v>0</v>
      </c>
      <c r="O89" s="823">
        <f ca="1">IF(A89&gt;'Additional Input'!$E$11,"",IF(('Additional Input'!$N$9+Projections!$A89)&gt;=IF('Additional Input'!$K$44=TRUE,71,70),VLOOKUP(('Additional Input'!$N$9+Projections!$A89),UniformTable,2),0))</f>
        <v>21.2</v>
      </c>
      <c r="P89" s="822">
        <f ca="1">IF(A89&gt;'Additional Input'!$E$11,"",IF($O89=0,0,$F89/$O89))</f>
        <v>0</v>
      </c>
      <c r="Q89" s="178">
        <f ca="1">IF(A89&gt;'Additional Input'!$E$11,"",IF(IF('Additional Input'!$D$44=TRUE,IF($O89=0,0,$F89/$O89),IF('Additional Input'!$F$45-'Additional Input'!$N$9&lt;=Projections!$A89,IF($F89*(1+$F$4)&lt;'Additional Input'!$D$45*IF('Additional Input'!$H$45=TRUE,(1+'Additional Input'!$D$13)^IF('Additional Input'!$K$45=TRUE,$A89,$A89-('Additional Input'!$F$45-'Additional Input'!$N$9)),1),$F89*(1+$F$4),'Additional Input'!$D$45*IF('Additional Input'!$H$45=TRUE,(1+'Additional Input'!$D$13)^IF('Additional Input'!$K$45=TRUE,$A89,$A89-('Additional Input'!$F$45-'Additional Input'!$N$9)),1)),0))&lt;$P89,$P89,IF('Additional Input'!$D$44=TRUE,IF($O89=0,0,$F89/$O89),IF('Additional Input'!$F$45-'Additional Input'!$N$9&lt;=Projections!$A89,IF($F89*(1+$F$4)&lt;'Additional Input'!$D$45*IF('Additional Input'!$H$45=TRUE,(1+'Additional Input'!$D$13)^IF('Additional Input'!$K$45=TRUE,$A89,$A89-('Additional Input'!$F$45-'Additional Input'!$N$9)),1),$F89*(1+$F$4),'Additional Input'!$D$45*IF('Additional Input'!$H$45=TRUE,(1+'Additional Input'!$D$13)^IF('Additional Input'!$K$45=TRUE,$A89,$A89-('Additional Input'!$F$45-'Additional Input'!$N$9)),1)),0)))+Adjustments!D89)</f>
        <v>0</v>
      </c>
      <c r="R89" s="571">
        <f ca="1">IF(A89&gt;'Additional Input'!$E$11,"",-((N89+Q89)*'Additional Input'!$D$12)+Adjustments!E89)</f>
        <v>0</v>
      </c>
      <c r="S89" s="571">
        <f ca="1">IF(A89&gt;'Additional Input'!$E$11,"",IF($A89&gt;='Additional Input'!$D$19,-'Additional Input'!$D$18*(1+IF('Additional Input'!$F$18=TRUE,'Additional Input'!$D$13,0))^Projections!A89,0)-TaxTables!D48+Adjustments!F89-VLOOKUP(A89,Gifts,6))</f>
        <v>-114000</v>
      </c>
      <c r="T89" s="126">
        <f ca="1">IF(A89&gt;'Additional Input'!$E$11,"",N89+Q89+R89+S89)</f>
        <v>-114000</v>
      </c>
    </row>
    <row r="90" spans="1:20">
      <c r="A90" s="122">
        <f t="shared" si="3"/>
        <v>18</v>
      </c>
      <c r="B90" s="110" t="str">
        <f ca="1">IF(A90&gt;'Additional Input'!$E$11,"",IF('Additional Input'!$N$9="","",'Additional Input'!$N$9+Projections!A90)&amp;"/"&amp;IF('Additional Input'!$O$9="","",IF('Additional Input'!$O$9=0,"",'Additional Input'!$O$9+Projections!A90)))</f>
        <v>78/78</v>
      </c>
      <c r="C90" s="122">
        <f ca="1">IF(A90&gt;'Additional Input'!$E$11,"",+C89+1)</f>
        <v>18</v>
      </c>
      <c r="D90" s="159">
        <f ca="1">IF(A90&gt;'Additional Input'!$E$11,"",($D89*(1+'Additional Input'!$F$26))+$N89+$Q89+$R89+$S89+VLOOKUP(A89,Gifts,6)-VLOOKUP(A90,Gifts,6))</f>
        <v>27730543.877842467</v>
      </c>
      <c r="E90" s="159">
        <f ca="1">IF(A90&gt;'Additional Input'!$E$11,"",E89*(1+'Additional Input'!$F$28))</f>
        <v>0</v>
      </c>
      <c r="F90" s="159">
        <f ca="1">IF(A90&gt;'Additional Input'!$E$11,"",($F89*(1+'Additional Input'!$F$27))-$Q89+IF(('Additional Input'!$K$40)&gt;A89,'Additional Input'!$D$40*(1+IF('Additional Input'!$H$40=TRUE,'Additional Input'!$D$13,0))^A89,0)+IF(('Additional Input'!$K$40)&gt;A89,'Additional Input'!$F$40*(1+IF('Additional Input'!$H$40=TRUE,'Additional Input'!$D$13,0))^A89,0))</f>
        <v>0</v>
      </c>
      <c r="G90" s="646">
        <f ca="1">IF(A90&gt;'Additional Input'!$E$11,"",-VLOOKUP(A90*12,Amortization,2))</f>
        <v>0</v>
      </c>
      <c r="H90" s="159">
        <f ca="1">IF(A90&gt;'Additional Input'!$E$11,"",IF(A90&lt;=Calculator!$F$7,Calculator!$D$7,0)+Calculator!$D$8-IF(A90&gt;3,Calculator!$H$8,0))</f>
        <v>0</v>
      </c>
      <c r="I90" s="159">
        <f ca="1">IF(A90&gt;'Additional Input'!$E$11,"",D90+E90+F90+G90+H90)</f>
        <v>27730543.877842467</v>
      </c>
      <c r="J90" s="646">
        <f ca="1">IF(A90&gt;'Additional Input'!$E$11,"",VLOOKUP(A90,Gifts,11))</f>
        <v>2656703.8528355253</v>
      </c>
      <c r="K90" s="159">
        <f ca="1">IF(A90&gt;'Additional Input'!$E$11,"",IF(A90&gt;3,Calculator!$H$8,0))</f>
        <v>0</v>
      </c>
      <c r="L90" s="159">
        <f ca="1">IF(A90&gt;'Additional Input'!$E$11,"",J90+K90)</f>
        <v>2656703.8528355253</v>
      </c>
      <c r="M90" s="126">
        <f ca="1">IF(A90&gt;'Additional Input'!$E$11,"",(D90*'Additional Input'!$F$26)+(E90*'Additional Input'!$F$28)+(F90*'Additional Input'!$F$27))</f>
        <v>1109221.7551136988</v>
      </c>
      <c r="N90" s="126">
        <f ca="1">IF(A90&gt;'Additional Input'!$E$11,"",IF(('Additional Input'!$K$35)&gt;Projections!A90,'Additional Input'!$D$35*(1+IF('Additional Input'!$H$35=TRUE,'Additional Input'!$D$13,0))^Projections!A90,0)+IF(('Additional Input'!$K$36)&gt;Projections!A90,'Additional Input'!$D$36*(1+IF('Additional Input'!$H$36=TRUE,'Additional Input'!$D$13,0))^Projections!A90,0)-IF(('Additional Input'!$K$40)&gt;A90,'Additional Input'!$D$40*(1+IF('Additional Input'!$H$39=TRUE,'Additional Input'!$D$13,0))^A90,0)+IF(('Additional Input'!$F$37-'Additional Input'!$N$9)&lt;=Projections!A90,'Additional Input'!$D$37*(1+IF('Additional Input'!$H$37=TRUE,'Additional Input'!$D$13,0))^IF('Additional Input'!$K$37=TRUE,Projections!A90,Projections!A90-('Additional Input'!$F$37-'Additional Input'!$N$9)),0)+Adjustments!C90)</f>
        <v>0</v>
      </c>
      <c r="O90" s="823">
        <f ca="1">IF(A90&gt;'Additional Input'!$E$11,"",IF(('Additional Input'!$N$9+Projections!$A90)&gt;=IF('Additional Input'!$K$44=TRUE,71,70),VLOOKUP(('Additional Input'!$N$9+Projections!$A90),UniformTable,2),0))</f>
        <v>20.3</v>
      </c>
      <c r="P90" s="822">
        <f ca="1">IF(A90&gt;'Additional Input'!$E$11,"",IF($O90=0,0,$F90/$O90))</f>
        <v>0</v>
      </c>
      <c r="Q90" s="178">
        <f ca="1">IF(A90&gt;'Additional Input'!$E$11,"",IF(IF('Additional Input'!$D$44=TRUE,IF($O90=0,0,$F90/$O90),IF('Additional Input'!$F$45-'Additional Input'!$N$9&lt;=Projections!$A90,IF($F90*(1+$F$4)&lt;'Additional Input'!$D$45*IF('Additional Input'!$H$45=TRUE,(1+'Additional Input'!$D$13)^IF('Additional Input'!$K$45=TRUE,$A90,$A90-('Additional Input'!$F$45-'Additional Input'!$N$9)),1),$F90*(1+$F$4),'Additional Input'!$D$45*IF('Additional Input'!$H$45=TRUE,(1+'Additional Input'!$D$13)^IF('Additional Input'!$K$45=TRUE,$A90,$A90-('Additional Input'!$F$45-'Additional Input'!$N$9)),1)),0))&lt;$P90,$P90,IF('Additional Input'!$D$44=TRUE,IF($O90=0,0,$F90/$O90),IF('Additional Input'!$F$45-'Additional Input'!$N$9&lt;=Projections!$A90,IF($F90*(1+$F$4)&lt;'Additional Input'!$D$45*IF('Additional Input'!$H$45=TRUE,(1+'Additional Input'!$D$13)^IF('Additional Input'!$K$45=TRUE,$A90,$A90-('Additional Input'!$F$45-'Additional Input'!$N$9)),1),$F90*(1+$F$4),'Additional Input'!$D$45*IF('Additional Input'!$H$45=TRUE,(1+'Additional Input'!$D$13)^IF('Additional Input'!$K$45=TRUE,$A90,$A90-('Additional Input'!$F$45-'Additional Input'!$N$9)),1)),0)))+Adjustments!D90)</f>
        <v>0</v>
      </c>
      <c r="R90" s="571">
        <f ca="1">IF(A90&gt;'Additional Input'!$E$11,"",-((N90+Q90)*'Additional Input'!$D$12)+Adjustments!E90)</f>
        <v>0</v>
      </c>
      <c r="S90" s="571">
        <f ca="1">IF(A90&gt;'Additional Input'!$E$11,"",IF($A90&gt;='Additional Input'!$D$19,-'Additional Input'!$D$18*(1+IF('Additional Input'!$F$18=TRUE,'Additional Input'!$D$13,0))^Projections!A90,0)-TaxTables!D49+Adjustments!F90-VLOOKUP(A90,Gifts,6))</f>
        <v>-114000</v>
      </c>
      <c r="T90" s="126">
        <f ca="1">IF(A90&gt;'Additional Input'!$E$11,"",N90+Q90+R90+S90)</f>
        <v>-114000</v>
      </c>
    </row>
    <row r="91" spans="1:20">
      <c r="A91" s="122">
        <f t="shared" si="3"/>
        <v>19</v>
      </c>
      <c r="B91" s="110" t="str">
        <f ca="1">IF(A91&gt;'Additional Input'!$E$11,"",IF('Additional Input'!$N$9="","",'Additional Input'!$N$9+Projections!A91)&amp;"/"&amp;IF('Additional Input'!$O$9="","",IF('Additional Input'!$O$9=0,"",'Additional Input'!$O$9+Projections!A91)))</f>
        <v>79/79</v>
      </c>
      <c r="C91" s="122">
        <f ca="1">IF(A91&gt;'Additional Input'!$E$11,"",+C90+1)</f>
        <v>19</v>
      </c>
      <c r="D91" s="159">
        <f ca="1">IF(A91&gt;'Additional Input'!$E$11,"",($D90*(1+'Additional Input'!$F$26))+$N90+$Q90+$R90+$S90+VLOOKUP(A90,Gifts,6)-VLOOKUP(A91,Gifts,6))</f>
        <v>28719765.632956166</v>
      </c>
      <c r="E91" s="159">
        <f ca="1">IF(A91&gt;'Additional Input'!$E$11,"",E90*(1+'Additional Input'!$F$28))</f>
        <v>0</v>
      </c>
      <c r="F91" s="159">
        <f ca="1">IF(A91&gt;'Additional Input'!$E$11,"",($F90*(1+'Additional Input'!$F$27))-$Q90+IF(('Additional Input'!$K$40)&gt;A90,'Additional Input'!$D$40*(1+IF('Additional Input'!$H$40=TRUE,'Additional Input'!$D$13,0))^A90,0)+IF(('Additional Input'!$K$40)&gt;A90,'Additional Input'!$F$40*(1+IF('Additional Input'!$H$40=TRUE,'Additional Input'!$D$13,0))^A90,0))</f>
        <v>0</v>
      </c>
      <c r="G91" s="646">
        <f ca="1">IF(A91&gt;'Additional Input'!$E$11,"",-VLOOKUP(A91*12,Amortization,2))</f>
        <v>0</v>
      </c>
      <c r="H91" s="159">
        <f ca="1">IF(A91&gt;'Additional Input'!$E$11,"",IF(A91&lt;=Calculator!$F$7,Calculator!$D$7,0)+Calculator!$D$8-IF(A91&gt;3,Calculator!$H$8,0))</f>
        <v>0</v>
      </c>
      <c r="I91" s="159">
        <f ca="1">IF(A91&gt;'Additional Input'!$E$11,"",D91+E91+F91+G91+H91)</f>
        <v>28719765.632956166</v>
      </c>
      <c r="J91" s="646">
        <f ca="1">IF(A91&gt;'Additional Input'!$E$11,"",VLOOKUP(A91,Gifts,11))</f>
        <v>2882972.0069489465</v>
      </c>
      <c r="K91" s="159">
        <f ca="1">IF(A91&gt;'Additional Input'!$E$11,"",IF(A91&gt;3,Calculator!$H$8,0))</f>
        <v>0</v>
      </c>
      <c r="L91" s="159">
        <f ca="1">IF(A91&gt;'Additional Input'!$E$11,"",J91+K91)</f>
        <v>2882972.0069489465</v>
      </c>
      <c r="M91" s="126">
        <f ca="1">IF(A91&gt;'Additional Input'!$E$11,"",(D91*'Additional Input'!$F$26)+(E91*'Additional Input'!$F$28)+(F91*'Additional Input'!$F$27))</f>
        <v>1148790.6253182467</v>
      </c>
      <c r="N91" s="126">
        <f ca="1">IF(A91&gt;'Additional Input'!$E$11,"",IF(('Additional Input'!$K$35)&gt;Projections!A91,'Additional Input'!$D$35*(1+IF('Additional Input'!$H$35=TRUE,'Additional Input'!$D$13,0))^Projections!A91,0)+IF(('Additional Input'!$K$36)&gt;Projections!A91,'Additional Input'!$D$36*(1+IF('Additional Input'!$H$36=TRUE,'Additional Input'!$D$13,0))^Projections!A91,0)-IF(('Additional Input'!$K$40)&gt;A91,'Additional Input'!$D$40*(1+IF('Additional Input'!$H$39=TRUE,'Additional Input'!$D$13,0))^A91,0)+IF(('Additional Input'!$F$37-'Additional Input'!$N$9)&lt;=Projections!A91,'Additional Input'!$D$37*(1+IF('Additional Input'!$H$37=TRUE,'Additional Input'!$D$13,0))^IF('Additional Input'!$K$37=TRUE,Projections!A91,Projections!A91-('Additional Input'!$F$37-'Additional Input'!$N$9)),0)+Adjustments!C91)</f>
        <v>0</v>
      </c>
      <c r="O91" s="823">
        <f ca="1">IF(A91&gt;'Additional Input'!$E$11,"",IF(('Additional Input'!$N$9+Projections!$A91)&gt;=IF('Additional Input'!$K$44=TRUE,71,70),VLOOKUP(('Additional Input'!$N$9+Projections!$A91),UniformTable,2),0))</f>
        <v>19.5</v>
      </c>
      <c r="P91" s="822">
        <f ca="1">IF(A91&gt;'Additional Input'!$E$11,"",IF($O91=0,0,$F91/$O91))</f>
        <v>0</v>
      </c>
      <c r="Q91" s="178">
        <f ca="1">IF(A91&gt;'Additional Input'!$E$11,"",IF(IF('Additional Input'!$D$44=TRUE,IF($O91=0,0,$F91/$O91),IF('Additional Input'!$F$45-'Additional Input'!$N$9&lt;=Projections!$A91,IF($F91*(1+$F$4)&lt;'Additional Input'!$D$45*IF('Additional Input'!$H$45=TRUE,(1+'Additional Input'!$D$13)^IF('Additional Input'!$K$45=TRUE,$A91,$A91-('Additional Input'!$F$45-'Additional Input'!$N$9)),1),$F91*(1+$F$4),'Additional Input'!$D$45*IF('Additional Input'!$H$45=TRUE,(1+'Additional Input'!$D$13)^IF('Additional Input'!$K$45=TRUE,$A91,$A91-('Additional Input'!$F$45-'Additional Input'!$N$9)),1)),0))&lt;$P91,$P91,IF('Additional Input'!$D$44=TRUE,IF($O91=0,0,$F91/$O91),IF('Additional Input'!$F$45-'Additional Input'!$N$9&lt;=Projections!$A91,IF($F91*(1+$F$4)&lt;'Additional Input'!$D$45*IF('Additional Input'!$H$45=TRUE,(1+'Additional Input'!$D$13)^IF('Additional Input'!$K$45=TRUE,$A91,$A91-('Additional Input'!$F$45-'Additional Input'!$N$9)),1),$F91*(1+$F$4),'Additional Input'!$D$45*IF('Additional Input'!$H$45=TRUE,(1+'Additional Input'!$D$13)^IF('Additional Input'!$K$45=TRUE,$A91,$A91-('Additional Input'!$F$45-'Additional Input'!$N$9)),1)),0)))+Adjustments!D91)</f>
        <v>0</v>
      </c>
      <c r="R91" s="571">
        <f ca="1">IF(A91&gt;'Additional Input'!$E$11,"",-((N91+Q91)*'Additional Input'!$D$12)+Adjustments!E91)</f>
        <v>0</v>
      </c>
      <c r="S91" s="571">
        <f ca="1">IF(A91&gt;'Additional Input'!$E$11,"",IF($A91&gt;='Additional Input'!$D$19,-'Additional Input'!$D$18*(1+IF('Additional Input'!$F$18=TRUE,'Additional Input'!$D$13,0))^Projections!A91,0)-TaxTables!D50+Adjustments!F91-VLOOKUP(A91,Gifts,6))</f>
        <v>-120000</v>
      </c>
      <c r="T91" s="126">
        <f ca="1">IF(A91&gt;'Additional Input'!$E$11,"",N91+Q91+R91+S91)</f>
        <v>-120000</v>
      </c>
    </row>
    <row r="92" spans="1:20">
      <c r="A92" s="650">
        <f t="shared" si="3"/>
        <v>20</v>
      </c>
      <c r="B92" s="651" t="str">
        <f ca="1">IF(A92&gt;'Additional Input'!$E$11,"",IF('Additional Input'!$N$9="","",'Additional Input'!$N$9+Projections!A92)&amp;"/"&amp;IF('Additional Input'!$O$9="","",IF('Additional Input'!$O$9=0,"",'Additional Input'!$O$9+Projections!A92)))</f>
        <v>80/80</v>
      </c>
      <c r="C92" s="650">
        <f ca="1">IF(A92&gt;'Additional Input'!$E$11,"",+C91+1)</f>
        <v>20</v>
      </c>
      <c r="D92" s="652">
        <f ca="1">IF(A92&gt;'Additional Input'!$E$11,"",($D91*(1+'Additional Input'!$F$26))+$N91+$Q91+$R91+$S91+VLOOKUP(A91,Gifts,6)-VLOOKUP(A92,Gifts,6))</f>
        <v>29748556.258274414</v>
      </c>
      <c r="E92" s="653">
        <f ca="1">IF(A92&gt;'Additional Input'!$E$11,"",E91*(1+'Additional Input'!$F$28))</f>
        <v>0</v>
      </c>
      <c r="F92" s="653">
        <f ca="1">IF(A92&gt;'Additional Input'!$E$11,"",($F91*(1+'Additional Input'!$F$27))-$Q91+IF(('Additional Input'!$K$40)&gt;A91,'Additional Input'!$D$40*(1+IF('Additional Input'!$H$40=TRUE,'Additional Input'!$D$13,0))^A91,0)+IF(('Additional Input'!$K$40)&gt;A91,'Additional Input'!$F$40*(1+IF('Additional Input'!$H$40=TRUE,'Additional Input'!$D$13,0))^A91,0))</f>
        <v>0</v>
      </c>
      <c r="G92" s="853">
        <f ca="1">IF(A92&gt;'Additional Input'!$E$11,"",-VLOOKUP(A92*12,Amortization,2))</f>
        <v>0</v>
      </c>
      <c r="H92" s="652">
        <f ca="1">IF(A92&gt;'Additional Input'!$E$11,"",IF(A92&lt;=Calculator!$F$7,Calculator!$D$7,0)+Calculator!$D$8-IF(A92&gt;3,Calculator!$H$8,0))</f>
        <v>0</v>
      </c>
      <c r="I92" s="652">
        <f ca="1">IF(A92&gt;'Additional Input'!$E$11,"",D92+E92+F92+G92+H92)</f>
        <v>29748556.258274414</v>
      </c>
      <c r="J92" s="720">
        <f ca="1">IF(A92&gt;'Additional Input'!$E$11,"",VLOOKUP(A92,Gifts,11))</f>
        <v>3118290.8872269043</v>
      </c>
      <c r="K92" s="721">
        <f ca="1">IF(A92&gt;'Additional Input'!$E$11,"",IF(A92&gt;3,Calculator!$H$8,0))</f>
        <v>0</v>
      </c>
      <c r="L92" s="652">
        <f ca="1">IF(A92&gt;'Additional Input'!$E$11,"",J92+K92)</f>
        <v>3118290.8872269043</v>
      </c>
      <c r="M92" s="654">
        <f ca="1">IF(A92&gt;'Additional Input'!$E$11,"",(D92*'Additional Input'!$F$26)+(E92*'Additional Input'!$F$28)+(F92*'Additional Input'!$F$27))</f>
        <v>1189942.2503309767</v>
      </c>
      <c r="N92" s="654">
        <f ca="1">IF(A92&gt;'Additional Input'!$E$11,"",IF(('Additional Input'!$K$35)&gt;Projections!A92,'Additional Input'!$D$35*(1+IF('Additional Input'!$H$35=TRUE,'Additional Input'!$D$13,0))^Projections!A92,0)+IF(('Additional Input'!$K$36)&gt;Projections!A92,'Additional Input'!$D$36*(1+IF('Additional Input'!$H$36=TRUE,'Additional Input'!$D$13,0))^Projections!A92,0)-IF(('Additional Input'!$K$40)&gt;A92,'Additional Input'!$D$40*(1+IF('Additional Input'!$H$39=TRUE,'Additional Input'!$D$13,0))^A92,0)+IF(('Additional Input'!$F$37-'Additional Input'!$N$9)&lt;=Projections!A92,'Additional Input'!$D$37*(1+IF('Additional Input'!$H$37=TRUE,'Additional Input'!$D$13,0))^IF('Additional Input'!$K$37=TRUE,Projections!A92,Projections!A92-('Additional Input'!$F$37-'Additional Input'!$N$9)),0)+Adjustments!C92)</f>
        <v>0</v>
      </c>
      <c r="O92" s="824">
        <f ca="1">IF(A92&gt;'Additional Input'!$E$11,"",IF(('Additional Input'!$N$9+Projections!$A92)&gt;=IF('Additional Input'!$K$44=TRUE,71,70),VLOOKUP(('Additional Input'!$N$9+Projections!$A92),UniformTable,2),0))</f>
        <v>18.7</v>
      </c>
      <c r="P92" s="825">
        <f ca="1">IF(A92&gt;'Additional Input'!$E$11,"",IF($O92=0,0,$F92/$O92))</f>
        <v>0</v>
      </c>
      <c r="Q92" s="654">
        <f ca="1">IF(A92&gt;'Additional Input'!$E$11,"",IF(IF('Additional Input'!$D$44=TRUE,IF($O92=0,0,$F92/$O92),IF('Additional Input'!$F$45-'Additional Input'!$N$9&lt;=Projections!$A92,IF($F92*(1+$F$4)&lt;'Additional Input'!$D$45*IF('Additional Input'!$H$45=TRUE,(1+'Additional Input'!$D$13)^IF('Additional Input'!$K$45=TRUE,$A92,$A92-('Additional Input'!$F$45-'Additional Input'!$N$9)),1),$F92*(1+$F$4),'Additional Input'!$D$45*IF('Additional Input'!$H$45=TRUE,(1+'Additional Input'!$D$13)^IF('Additional Input'!$K$45=TRUE,$A92,$A92-('Additional Input'!$F$45-'Additional Input'!$N$9)),1)),0))&lt;$P92,$P92,IF('Additional Input'!$D$44=TRUE,IF($O92=0,0,$F92/$O92),IF('Additional Input'!$F$45-'Additional Input'!$N$9&lt;=Projections!$A92,IF($F92*(1+$F$4)&lt;'Additional Input'!$D$45*IF('Additional Input'!$H$45=TRUE,(1+'Additional Input'!$D$13)^IF('Additional Input'!$K$45=TRUE,$A92,$A92-('Additional Input'!$F$45-'Additional Input'!$N$9)),1),$F92*(1+$F$4),'Additional Input'!$D$45*IF('Additional Input'!$H$45=TRUE,(1+'Additional Input'!$D$13)^IF('Additional Input'!$K$45=TRUE,$A92,$A92-('Additional Input'!$F$45-'Additional Input'!$N$9)),1)),0)))+Adjustments!D92)</f>
        <v>0</v>
      </c>
      <c r="R92" s="656">
        <f ca="1">IF(A92&gt;'Additional Input'!$E$11,"",-((N92+Q92)*'Additional Input'!$D$12)+Adjustments!E92)</f>
        <v>0</v>
      </c>
      <c r="S92" s="656">
        <f ca="1">IF(A92&gt;'Additional Input'!$E$11,"",IF($A92&gt;='Additional Input'!$D$19,-'Additional Input'!$D$18*(1+IF('Additional Input'!$F$18=TRUE,'Additional Input'!$D$13,0))^Projections!A92,0)-TaxTables!D51+Adjustments!F92-VLOOKUP(A92,Gifts,6))</f>
        <v>-120000</v>
      </c>
      <c r="T92" s="654">
        <f ca="1">IF(A92&gt;'Additional Input'!$E$11,"",N92+Q92+R92+S92)</f>
        <v>-120000</v>
      </c>
    </row>
    <row r="93" spans="1:20">
      <c r="A93" s="122">
        <f t="shared" si="3"/>
        <v>21</v>
      </c>
      <c r="B93" s="110" t="str">
        <f ca="1">IF(A93&gt;'Additional Input'!$E$11,"",IF('Additional Input'!$N$9="","",'Additional Input'!$N$9+Projections!A93)&amp;"/"&amp;IF('Additional Input'!$O$9="","",IF('Additional Input'!$O$9=0,"",'Additional Input'!$O$9+Projections!A93)))</f>
        <v>81/81</v>
      </c>
      <c r="C93" s="122">
        <f ca="1">IF(A93&gt;'Additional Input'!$E$11,"",+C92+1)</f>
        <v>21</v>
      </c>
      <c r="D93" s="159">
        <f ca="1">IF(A93&gt;'Additional Input'!$E$11,"",($D92*(1+'Additional Input'!$F$26))+$N92+$Q92+$R92+$S92+VLOOKUP(A92,Gifts,6)-VLOOKUP(A93,Gifts,6))</f>
        <v>30812498.508605391</v>
      </c>
      <c r="E93" s="159">
        <f ca="1">IF(A93&gt;'Additional Input'!$E$11,"",E92*(1+'Additional Input'!$F$28))</f>
        <v>0</v>
      </c>
      <c r="F93" s="159">
        <f ca="1">IF(A93&gt;'Additional Input'!$E$11,"",($F92*(1+'Additional Input'!$F$27))-$Q92+IF(('Additional Input'!$K$40)&gt;A92,'Additional Input'!$D$40*(1+IF('Additional Input'!$H$40=TRUE,'Additional Input'!$D$13,0))^A92,0)+IF(('Additional Input'!$K$40)&gt;A92,'Additional Input'!$F$40*(1+IF('Additional Input'!$H$40=TRUE,'Additional Input'!$D$13,0))^A92,0))</f>
        <v>0</v>
      </c>
      <c r="G93" s="646">
        <f ca="1">IF(A93&gt;'Additional Input'!$E$11,"",-VLOOKUP(A93*12,Amortization,2))</f>
        <v>0</v>
      </c>
      <c r="H93" s="159">
        <f ca="1">IF(A93&gt;'Additional Input'!$E$11,"",IF(A93&lt;=Calculator!$F$7,Calculator!$D$7,0)+Calculator!$D$8-IF(A93&gt;3,Calculator!$H$8,0))</f>
        <v>0</v>
      </c>
      <c r="I93" s="159">
        <f ca="1">IF(A93&gt;'Additional Input'!$E$11,"",D93+E93+F93+G93+H93)</f>
        <v>30812498.508605391</v>
      </c>
      <c r="J93" s="646">
        <f ca="1">IF(A93&gt;'Additional Input'!$E$11,"",VLOOKUP(A93,Gifts,11))</f>
        <v>3369022.5227159807</v>
      </c>
      <c r="K93" s="159">
        <f ca="1">IF(A93&gt;'Additional Input'!$E$11,"",IF(A93&gt;3,Calculator!$H$8,0))</f>
        <v>0</v>
      </c>
      <c r="L93" s="159">
        <f ca="1">IF(A93&gt;'Additional Input'!$E$11,"",J93+K93)</f>
        <v>3369022.5227159807</v>
      </c>
      <c r="M93" s="126">
        <f ca="1">IF(A93&gt;'Additional Input'!$E$11,"",(D93*'Additional Input'!$F$26)+(E93*'Additional Input'!$F$28)+(F93*'Additional Input'!$F$27))</f>
        <v>1232499.9403442156</v>
      </c>
      <c r="N93" s="126">
        <f ca="1">IF(A93&gt;'Additional Input'!$E$11,"",IF(('Additional Input'!$K$35)&gt;Projections!A93,'Additional Input'!$D$35*(1+IF('Additional Input'!$H$35=TRUE,'Additional Input'!$D$13,0))^Projections!A93,0)+IF(('Additional Input'!$K$36)&gt;Projections!A93,'Additional Input'!$D$36*(1+IF('Additional Input'!$H$36=TRUE,'Additional Input'!$D$13,0))^Projections!A93,0)-IF(('Additional Input'!$K$40)&gt;A93,'Additional Input'!$D$40*(1+IF('Additional Input'!$H$39=TRUE,'Additional Input'!$D$13,0))^A93,0)+IF(('Additional Input'!$F$37-'Additional Input'!$N$9)&lt;=Projections!A93,'Additional Input'!$D$37*(1+IF('Additional Input'!$H$37=TRUE,'Additional Input'!$D$13,0))^IF('Additional Input'!$K$37=TRUE,Projections!A93,Projections!A93-('Additional Input'!$F$37-'Additional Input'!$N$9)),0)+Adjustments!C93)</f>
        <v>0</v>
      </c>
      <c r="O93" s="823">
        <f ca="1">IF(A93&gt;'Additional Input'!$E$11,"",IF(('Additional Input'!$N$9+Projections!$A93)&gt;=IF('Additional Input'!$K$44=TRUE,71,70),VLOOKUP(('Additional Input'!$N$9+Projections!$A93),UniformTable,2),0))</f>
        <v>17.899999999999999</v>
      </c>
      <c r="P93" s="822">
        <f ca="1">IF(A93&gt;'Additional Input'!$E$11,"",IF($O93=0,0,$F93/$O93))</f>
        <v>0</v>
      </c>
      <c r="Q93" s="178">
        <f ca="1">IF(A93&gt;'Additional Input'!$E$11,"",IF(IF('Additional Input'!$D$44=TRUE,IF($O93=0,0,$F93/$O93),IF('Additional Input'!$F$45-'Additional Input'!$N$9&lt;=Projections!$A93,IF($F93*(1+$F$4)&lt;'Additional Input'!$D$45*IF('Additional Input'!$H$45=TRUE,(1+'Additional Input'!$D$13)^IF('Additional Input'!$K$45=TRUE,$A93,$A93-('Additional Input'!$F$45-'Additional Input'!$N$9)),1),$F93*(1+$F$4),'Additional Input'!$D$45*IF('Additional Input'!$H$45=TRUE,(1+'Additional Input'!$D$13)^IF('Additional Input'!$K$45=TRUE,$A93,$A93-('Additional Input'!$F$45-'Additional Input'!$N$9)),1)),0))&lt;$P93,$P93,IF('Additional Input'!$D$44=TRUE,IF($O93=0,0,$F93/$O93),IF('Additional Input'!$F$45-'Additional Input'!$N$9&lt;=Projections!$A93,IF($F93*(1+$F$4)&lt;'Additional Input'!$D$45*IF('Additional Input'!$H$45=TRUE,(1+'Additional Input'!$D$13)^IF('Additional Input'!$K$45=TRUE,$A93,$A93-('Additional Input'!$F$45-'Additional Input'!$N$9)),1),$F93*(1+$F$4),'Additional Input'!$D$45*IF('Additional Input'!$H$45=TRUE,(1+'Additional Input'!$D$13)^IF('Additional Input'!$K$45=TRUE,$A93,$A93-('Additional Input'!$F$45-'Additional Input'!$N$9)),1)),0)))+Adjustments!D93)</f>
        <v>0</v>
      </c>
      <c r="R93" s="571">
        <f ca="1">IF(A93&gt;'Additional Input'!$E$11,"",-((N93+Q93)*'Additional Input'!$D$12)+Adjustments!E93)</f>
        <v>0</v>
      </c>
      <c r="S93" s="571">
        <f ca="1">IF(A93&gt;'Additional Input'!$E$11,"",IF($A93&gt;='Additional Input'!$D$19,-'Additional Input'!$D$18*(1+IF('Additional Input'!$F$18=TRUE,'Additional Input'!$D$13,0))^Projections!A93,0)-TaxTables!D52+Adjustments!F93-VLOOKUP(A93,Gifts,6))</f>
        <v>-126000</v>
      </c>
      <c r="T93" s="126">
        <f ca="1">IF(A93&gt;'Additional Input'!$E$11,"",N93+Q93+R93+S93)</f>
        <v>-126000</v>
      </c>
    </row>
    <row r="94" spans="1:20">
      <c r="A94" s="122">
        <f t="shared" si="3"/>
        <v>22</v>
      </c>
      <c r="B94" s="110" t="str">
        <f ca="1">IF(A94&gt;'Additional Input'!$E$11,"",IF('Additional Input'!$N$9="","",'Additional Input'!$N$9+Projections!A94)&amp;"/"&amp;IF('Additional Input'!$O$9="","",IF('Additional Input'!$O$9=0,"",'Additional Input'!$O$9+Projections!A94)))</f>
        <v>82/82</v>
      </c>
      <c r="C94" s="122">
        <f ca="1">IF(A94&gt;'Additional Input'!$E$11,"",+C93+1)</f>
        <v>22</v>
      </c>
      <c r="D94" s="159">
        <f ca="1">IF(A94&gt;'Additional Input'!$E$11,"",($D93*(1+'Additional Input'!$F$26))+$N93+$Q93+$R93+$S93+VLOOKUP(A93,Gifts,6)-VLOOKUP(A94,Gifts,6))</f>
        <v>31918998.448949609</v>
      </c>
      <c r="E94" s="159">
        <f ca="1">IF(A94&gt;'Additional Input'!$E$11,"",E93*(1+'Additional Input'!$F$28))</f>
        <v>0</v>
      </c>
      <c r="F94" s="159">
        <f ca="1">IF(A94&gt;'Additional Input'!$E$11,"",($F93*(1+'Additional Input'!$F$27))-$Q93+IF(('Additional Input'!$K$40)&gt;A93,'Additional Input'!$D$40*(1+IF('Additional Input'!$H$40=TRUE,'Additional Input'!$D$13,0))^A93,0)+IF(('Additional Input'!$K$40)&gt;A93,'Additional Input'!$F$40*(1+IF('Additional Input'!$H$40=TRUE,'Additional Input'!$D$13,0))^A93,0))</f>
        <v>0</v>
      </c>
      <c r="G94" s="646">
        <f ca="1">IF(A94&gt;'Additional Input'!$E$11,"",-VLOOKUP(A94*12,Amortization,2))</f>
        <v>0</v>
      </c>
      <c r="H94" s="159">
        <f ca="1">IF(A94&gt;'Additional Input'!$E$11,"",IF(A94&lt;=Calculator!$F$7,Calculator!$D$7,0)+Calculator!$D$8-IF(A94&gt;3,Calculator!$H$8,0))</f>
        <v>0</v>
      </c>
      <c r="I94" s="159">
        <f ca="1">IF(A94&gt;'Additional Input'!$E$11,"",D94+E94+F94+G94+H94)</f>
        <v>31918998.448949609</v>
      </c>
      <c r="J94" s="646">
        <f ca="1">IF(A94&gt;'Additional Input'!$E$11,"",VLOOKUP(A94,Gifts,11))</f>
        <v>3629783.4236246198</v>
      </c>
      <c r="K94" s="159">
        <f ca="1">IF(A94&gt;'Additional Input'!$E$11,"",IF(A94&gt;3,Calculator!$H$8,0))</f>
        <v>0</v>
      </c>
      <c r="L94" s="159">
        <f ca="1">IF(A94&gt;'Additional Input'!$E$11,"",J94+K94)</f>
        <v>3629783.4236246198</v>
      </c>
      <c r="M94" s="126">
        <f ca="1">IF(A94&gt;'Additional Input'!$E$11,"",(D94*'Additional Input'!$F$26)+(E94*'Additional Input'!$F$28)+(F94*'Additional Input'!$F$27))</f>
        <v>1276759.9379579844</v>
      </c>
      <c r="N94" s="126">
        <f ca="1">IF(A94&gt;'Additional Input'!$E$11,"",IF(('Additional Input'!$K$35)&gt;Projections!A94,'Additional Input'!$D$35*(1+IF('Additional Input'!$H$35=TRUE,'Additional Input'!$D$13,0))^Projections!A94,0)+IF(('Additional Input'!$K$36)&gt;Projections!A94,'Additional Input'!$D$36*(1+IF('Additional Input'!$H$36=TRUE,'Additional Input'!$D$13,0))^Projections!A94,0)-IF(('Additional Input'!$K$40)&gt;A94,'Additional Input'!$D$40*(1+IF('Additional Input'!$H$39=TRUE,'Additional Input'!$D$13,0))^A94,0)+IF(('Additional Input'!$F$37-'Additional Input'!$N$9)&lt;=Projections!A94,'Additional Input'!$D$37*(1+IF('Additional Input'!$H$37=TRUE,'Additional Input'!$D$13,0))^IF('Additional Input'!$K$37=TRUE,Projections!A94,Projections!A94-('Additional Input'!$F$37-'Additional Input'!$N$9)),0)+Adjustments!C94)</f>
        <v>0</v>
      </c>
      <c r="O94" s="823">
        <f ca="1">IF(A94&gt;'Additional Input'!$E$11,"",IF(('Additional Input'!$N$9+Projections!$A94)&gt;=IF('Additional Input'!$K$44=TRUE,71,70),VLOOKUP(('Additional Input'!$N$9+Projections!$A94),UniformTable,2),0))</f>
        <v>17.100000000000001</v>
      </c>
      <c r="P94" s="822">
        <f ca="1">IF(A94&gt;'Additional Input'!$E$11,"",IF($O94=0,0,$F94/$O94))</f>
        <v>0</v>
      </c>
      <c r="Q94" s="178">
        <f ca="1">IF(A94&gt;'Additional Input'!$E$11,"",IF(IF('Additional Input'!$D$44=TRUE,IF($O94=0,0,$F94/$O94),IF('Additional Input'!$F$45-'Additional Input'!$N$9&lt;=Projections!$A94,IF($F94*(1+$F$4)&lt;'Additional Input'!$D$45*IF('Additional Input'!$H$45=TRUE,(1+'Additional Input'!$D$13)^IF('Additional Input'!$K$45=TRUE,$A94,$A94-('Additional Input'!$F$45-'Additional Input'!$N$9)),1),$F94*(1+$F$4),'Additional Input'!$D$45*IF('Additional Input'!$H$45=TRUE,(1+'Additional Input'!$D$13)^IF('Additional Input'!$K$45=TRUE,$A94,$A94-('Additional Input'!$F$45-'Additional Input'!$N$9)),1)),0))&lt;$P94,$P94,IF('Additional Input'!$D$44=TRUE,IF($O94=0,0,$F94/$O94),IF('Additional Input'!$F$45-'Additional Input'!$N$9&lt;=Projections!$A94,IF($F94*(1+$F$4)&lt;'Additional Input'!$D$45*IF('Additional Input'!$H$45=TRUE,(1+'Additional Input'!$D$13)^IF('Additional Input'!$K$45=TRUE,$A94,$A94-('Additional Input'!$F$45-'Additional Input'!$N$9)),1),$F94*(1+$F$4),'Additional Input'!$D$45*IF('Additional Input'!$H$45=TRUE,(1+'Additional Input'!$D$13)^IF('Additional Input'!$K$45=TRUE,$A94,$A94-('Additional Input'!$F$45-'Additional Input'!$N$9)),1)),0)))+Adjustments!D94)</f>
        <v>0</v>
      </c>
      <c r="R94" s="571">
        <f ca="1">IF(A94&gt;'Additional Input'!$E$11,"",-((N94+Q94)*'Additional Input'!$D$12)+Adjustments!E94)</f>
        <v>0</v>
      </c>
      <c r="S94" s="571">
        <f ca="1">IF(A94&gt;'Additional Input'!$E$11,"",IF($A94&gt;='Additional Input'!$D$19,-'Additional Input'!$D$18*(1+IF('Additional Input'!$F$18=TRUE,'Additional Input'!$D$13,0))^Projections!A94,0)-TaxTables!D53+Adjustments!F94-VLOOKUP(A94,Gifts,6))</f>
        <v>-126000</v>
      </c>
      <c r="T94" s="126">
        <f ca="1">IF(A94&gt;'Additional Input'!$E$11,"",N94+Q94+R94+S94)</f>
        <v>-126000</v>
      </c>
    </row>
    <row r="95" spans="1:20">
      <c r="A95" s="122">
        <f t="shared" si="3"/>
        <v>23</v>
      </c>
      <c r="B95" s="110" t="str">
        <f ca="1">IF(A95&gt;'Additional Input'!$E$11,"",IF('Additional Input'!$N$9="","",'Additional Input'!$N$9+Projections!A95)&amp;"/"&amp;IF('Additional Input'!$O$9="","",IF('Additional Input'!$O$9=0,"",'Additional Input'!$O$9+Projections!A95)))</f>
        <v>83/83</v>
      </c>
      <c r="C95" s="122">
        <f ca="1">IF(A95&gt;'Additional Input'!$E$11,"",+C94+1)</f>
        <v>23</v>
      </c>
      <c r="D95" s="159">
        <f ca="1">IF(A95&gt;'Additional Input'!$E$11,"",($D94*(1+'Additional Input'!$F$26))+$N94+$Q94+$R94+$S94+VLOOKUP(A94,Gifts,6)-VLOOKUP(A95,Gifts,6))</f>
        <v>33063758.386907596</v>
      </c>
      <c r="E95" s="159">
        <f ca="1">IF(A95&gt;'Additional Input'!$E$11,"",E94*(1+'Additional Input'!$F$28))</f>
        <v>0</v>
      </c>
      <c r="F95" s="159">
        <f ca="1">IF(A95&gt;'Additional Input'!$E$11,"",($F94*(1+'Additional Input'!$F$27))-$Q94+IF(('Additional Input'!$K$40)&gt;A94,'Additional Input'!$D$40*(1+IF('Additional Input'!$H$40=TRUE,'Additional Input'!$D$13,0))^A94,0)+IF(('Additional Input'!$K$40)&gt;A94,'Additional Input'!$F$40*(1+IF('Additional Input'!$H$40=TRUE,'Additional Input'!$D$13,0))^A94,0))</f>
        <v>0</v>
      </c>
      <c r="G95" s="646">
        <f ca="1">IF(A95&gt;'Additional Input'!$E$11,"",-VLOOKUP(A95*12,Amortization,2))</f>
        <v>0</v>
      </c>
      <c r="H95" s="159">
        <f ca="1">IF(A95&gt;'Additional Input'!$E$11,"",IF(A95&lt;=Calculator!$F$7,Calculator!$D$7,0)+Calculator!$D$8-IF(A95&gt;3,Calculator!$H$8,0))</f>
        <v>0</v>
      </c>
      <c r="I95" s="159">
        <f ca="1">IF(A95&gt;'Additional Input'!$E$11,"",D95+E95+F95+G95+H95)</f>
        <v>33063758.386907596</v>
      </c>
      <c r="J95" s="646">
        <f ca="1">IF(A95&gt;'Additional Input'!$E$11,"",VLOOKUP(A95,Gifts,11))</f>
        <v>3906974.7605696046</v>
      </c>
      <c r="K95" s="159">
        <f ca="1">IF(A95&gt;'Additional Input'!$E$11,"",IF(A95&gt;3,Calculator!$H$8,0))</f>
        <v>0</v>
      </c>
      <c r="L95" s="159">
        <f ca="1">IF(A95&gt;'Additional Input'!$E$11,"",J95+K95)</f>
        <v>3906974.7605696046</v>
      </c>
      <c r="M95" s="126">
        <f ca="1">IF(A95&gt;'Additional Input'!$E$11,"",(D95*'Additional Input'!$F$26)+(E95*'Additional Input'!$F$28)+(F95*'Additional Input'!$F$27))</f>
        <v>1322550.3354763039</v>
      </c>
      <c r="N95" s="126">
        <f ca="1">IF(A95&gt;'Additional Input'!$E$11,"",IF(('Additional Input'!$K$35)&gt;Projections!A95,'Additional Input'!$D$35*(1+IF('Additional Input'!$H$35=TRUE,'Additional Input'!$D$13,0))^Projections!A95,0)+IF(('Additional Input'!$K$36)&gt;Projections!A95,'Additional Input'!$D$36*(1+IF('Additional Input'!$H$36=TRUE,'Additional Input'!$D$13,0))^Projections!A95,0)-IF(('Additional Input'!$K$40)&gt;A95,'Additional Input'!$D$40*(1+IF('Additional Input'!$H$39=TRUE,'Additional Input'!$D$13,0))^A95,0)+IF(('Additional Input'!$F$37-'Additional Input'!$N$9)&lt;=Projections!A95,'Additional Input'!$D$37*(1+IF('Additional Input'!$H$37=TRUE,'Additional Input'!$D$13,0))^IF('Additional Input'!$K$37=TRUE,Projections!A95,Projections!A95-('Additional Input'!$F$37-'Additional Input'!$N$9)),0)+Adjustments!C95)</f>
        <v>0</v>
      </c>
      <c r="O95" s="823">
        <f ca="1">IF(A95&gt;'Additional Input'!$E$11,"",IF(('Additional Input'!$N$9+Projections!$A95)&gt;=IF('Additional Input'!$K$44=TRUE,71,70),VLOOKUP(('Additional Input'!$N$9+Projections!$A95),UniformTable,2),0))</f>
        <v>16.3</v>
      </c>
      <c r="P95" s="822">
        <f ca="1">IF(A95&gt;'Additional Input'!$E$11,"",IF($O95=0,0,$F95/$O95))</f>
        <v>0</v>
      </c>
      <c r="Q95" s="178">
        <f ca="1">IF(A95&gt;'Additional Input'!$E$11,"",IF(IF('Additional Input'!$D$44=TRUE,IF($O95=0,0,$F95/$O95),IF('Additional Input'!$F$45-'Additional Input'!$N$9&lt;=Projections!$A95,IF($F95*(1+$F$4)&lt;'Additional Input'!$D$45*IF('Additional Input'!$H$45=TRUE,(1+'Additional Input'!$D$13)^IF('Additional Input'!$K$45=TRUE,$A95,$A95-('Additional Input'!$F$45-'Additional Input'!$N$9)),1),$F95*(1+$F$4),'Additional Input'!$D$45*IF('Additional Input'!$H$45=TRUE,(1+'Additional Input'!$D$13)^IF('Additional Input'!$K$45=TRUE,$A95,$A95-('Additional Input'!$F$45-'Additional Input'!$N$9)),1)),0))&lt;$P95,$P95,IF('Additional Input'!$D$44=TRUE,IF($O95=0,0,$F95/$O95),IF('Additional Input'!$F$45-'Additional Input'!$N$9&lt;=Projections!$A95,IF($F95*(1+$F$4)&lt;'Additional Input'!$D$45*IF('Additional Input'!$H$45=TRUE,(1+'Additional Input'!$D$13)^IF('Additional Input'!$K$45=TRUE,$A95,$A95-('Additional Input'!$F$45-'Additional Input'!$N$9)),1),$F95*(1+$F$4),'Additional Input'!$D$45*IF('Additional Input'!$H$45=TRUE,(1+'Additional Input'!$D$13)^IF('Additional Input'!$K$45=TRUE,$A95,$A95-('Additional Input'!$F$45-'Additional Input'!$N$9)),1)),0)))+Adjustments!D95)</f>
        <v>0</v>
      </c>
      <c r="R95" s="571">
        <f ca="1">IF(A95&gt;'Additional Input'!$E$11,"",-((N95+Q95)*'Additional Input'!$D$12)+Adjustments!E95)</f>
        <v>0</v>
      </c>
      <c r="S95" s="571">
        <f ca="1">IF(A95&gt;'Additional Input'!$E$11,"",IF($A95&gt;='Additional Input'!$D$19,-'Additional Input'!$D$18*(1+IF('Additional Input'!$F$18=TRUE,'Additional Input'!$D$13,0))^Projections!A95,0)-TaxTables!D54+Adjustments!F95-VLOOKUP(A95,Gifts,6))</f>
        <v>-132000</v>
      </c>
      <c r="T95" s="126">
        <f ca="1">IF(A95&gt;'Additional Input'!$E$11,"",N95+Q95+R95+S95)</f>
        <v>-132000</v>
      </c>
    </row>
    <row r="96" spans="1:20">
      <c r="A96" s="122">
        <f t="shared" si="3"/>
        <v>24</v>
      </c>
      <c r="B96" s="110" t="str">
        <f ca="1">IF(A96&gt;'Additional Input'!$E$11,"",IF('Additional Input'!$N$9="","",'Additional Input'!$N$9+Projections!A96)&amp;"/"&amp;IF('Additional Input'!$O$9="","",IF('Additional Input'!$O$9=0,"",'Additional Input'!$O$9+Projections!A96)))</f>
        <v>84/84</v>
      </c>
      <c r="C96" s="122">
        <f ca="1">IF(A96&gt;'Additional Input'!$E$11,"",+C95+1)</f>
        <v>24</v>
      </c>
      <c r="D96" s="159">
        <f ca="1">IF(A96&gt;'Additional Input'!$E$11,"",($D95*(1+'Additional Input'!$F$26))+$N95+$Q95+$R95+$S95+VLOOKUP(A95,Gifts,6)-VLOOKUP(A96,Gifts,6))</f>
        <v>34254308.722383901</v>
      </c>
      <c r="E96" s="159">
        <f ca="1">IF(A96&gt;'Additional Input'!$E$11,"",E95*(1+'Additional Input'!$F$28))</f>
        <v>0</v>
      </c>
      <c r="F96" s="159">
        <f ca="1">IF(A96&gt;'Additional Input'!$E$11,"",($F95*(1+'Additional Input'!$F$27))-$Q95+IF(('Additional Input'!$K$40)&gt;A95,'Additional Input'!$D$40*(1+IF('Additional Input'!$H$40=TRUE,'Additional Input'!$D$13,0))^A95,0)+IF(('Additional Input'!$K$40)&gt;A95,'Additional Input'!$F$40*(1+IF('Additional Input'!$H$40=TRUE,'Additional Input'!$D$13,0))^A95,0))</f>
        <v>0</v>
      </c>
      <c r="G96" s="646">
        <f ca="1">IF(A96&gt;'Additional Input'!$E$11,"",-VLOOKUP(A96*12,Amortization,2))</f>
        <v>0</v>
      </c>
      <c r="H96" s="159">
        <f ca="1">IF(A96&gt;'Additional Input'!$E$11,"",IF(A96&lt;=Calculator!$F$7,Calculator!$D$7,0)+Calculator!$D$8-IF(A96&gt;3,Calculator!$H$8,0))</f>
        <v>0</v>
      </c>
      <c r="I96" s="159">
        <f ca="1">IF(A96&gt;'Additional Input'!$E$11,"",D96+E96+F96+G96+H96)</f>
        <v>34254308.722383901</v>
      </c>
      <c r="J96" s="646">
        <f ca="1">IF(A96&gt;'Additional Input'!$E$11,"",VLOOKUP(A96,Gifts,11))</f>
        <v>4195253.7509923894</v>
      </c>
      <c r="K96" s="159">
        <f ca="1">IF(A96&gt;'Additional Input'!$E$11,"",IF(A96&gt;3,Calculator!$H$8,0))</f>
        <v>0</v>
      </c>
      <c r="L96" s="159">
        <f ca="1">IF(A96&gt;'Additional Input'!$E$11,"",J96+K96)</f>
        <v>4195253.7509923894</v>
      </c>
      <c r="M96" s="126">
        <f ca="1">IF(A96&gt;'Additional Input'!$E$11,"",(D96*'Additional Input'!$F$26)+(E96*'Additional Input'!$F$28)+(F96*'Additional Input'!$F$27))</f>
        <v>1370172.3488953561</v>
      </c>
      <c r="N96" s="126">
        <f ca="1">IF(A96&gt;'Additional Input'!$E$11,"",IF(('Additional Input'!$K$35)&gt;Projections!A96,'Additional Input'!$D$35*(1+IF('Additional Input'!$H$35=TRUE,'Additional Input'!$D$13,0))^Projections!A96,0)+IF(('Additional Input'!$K$36)&gt;Projections!A96,'Additional Input'!$D$36*(1+IF('Additional Input'!$H$36=TRUE,'Additional Input'!$D$13,0))^Projections!A96,0)-IF(('Additional Input'!$K$40)&gt;A96,'Additional Input'!$D$40*(1+IF('Additional Input'!$H$39=TRUE,'Additional Input'!$D$13,0))^A96,0)+IF(('Additional Input'!$F$37-'Additional Input'!$N$9)&lt;=Projections!A96,'Additional Input'!$D$37*(1+IF('Additional Input'!$H$37=TRUE,'Additional Input'!$D$13,0))^IF('Additional Input'!$K$37=TRUE,Projections!A96,Projections!A96-('Additional Input'!$F$37-'Additional Input'!$N$9)),0)+Adjustments!C96)</f>
        <v>0</v>
      </c>
      <c r="O96" s="823">
        <f ca="1">IF(A96&gt;'Additional Input'!$E$11,"",IF(('Additional Input'!$N$9+Projections!$A96)&gt;=IF('Additional Input'!$K$44=TRUE,71,70),VLOOKUP(('Additional Input'!$N$9+Projections!$A96),UniformTable,2),0))</f>
        <v>15.5</v>
      </c>
      <c r="P96" s="822">
        <f ca="1">IF(A96&gt;'Additional Input'!$E$11,"",IF($O96=0,0,$F96/$O96))</f>
        <v>0</v>
      </c>
      <c r="Q96" s="178">
        <f ca="1">IF(A96&gt;'Additional Input'!$E$11,"",IF(IF('Additional Input'!$D$44=TRUE,IF($O96=0,0,$F96/$O96),IF('Additional Input'!$F$45-'Additional Input'!$N$9&lt;=Projections!$A96,IF($F96*(1+$F$4)&lt;'Additional Input'!$D$45*IF('Additional Input'!$H$45=TRUE,(1+'Additional Input'!$D$13)^IF('Additional Input'!$K$45=TRUE,$A96,$A96-('Additional Input'!$F$45-'Additional Input'!$N$9)),1),$F96*(1+$F$4),'Additional Input'!$D$45*IF('Additional Input'!$H$45=TRUE,(1+'Additional Input'!$D$13)^IF('Additional Input'!$K$45=TRUE,$A96,$A96-('Additional Input'!$F$45-'Additional Input'!$N$9)),1)),0))&lt;$P96,$P96,IF('Additional Input'!$D$44=TRUE,IF($O96=0,0,$F96/$O96),IF('Additional Input'!$F$45-'Additional Input'!$N$9&lt;=Projections!$A96,IF($F96*(1+$F$4)&lt;'Additional Input'!$D$45*IF('Additional Input'!$H$45=TRUE,(1+'Additional Input'!$D$13)^IF('Additional Input'!$K$45=TRUE,$A96,$A96-('Additional Input'!$F$45-'Additional Input'!$N$9)),1),$F96*(1+$F$4),'Additional Input'!$D$45*IF('Additional Input'!$H$45=TRUE,(1+'Additional Input'!$D$13)^IF('Additional Input'!$K$45=TRUE,$A96,$A96-('Additional Input'!$F$45-'Additional Input'!$N$9)),1)),0)))+Adjustments!D96)</f>
        <v>0</v>
      </c>
      <c r="R96" s="571">
        <f ca="1">IF(A96&gt;'Additional Input'!$E$11,"",-((N96+Q96)*'Additional Input'!$D$12)+Adjustments!E96)</f>
        <v>0</v>
      </c>
      <c r="S96" s="571">
        <f ca="1">IF(A96&gt;'Additional Input'!$E$11,"",IF($A96&gt;='Additional Input'!$D$19,-'Additional Input'!$D$18*(1+IF('Additional Input'!$F$18=TRUE,'Additional Input'!$D$13,0))^Projections!A96,0)-TaxTables!D55+Adjustments!F96-VLOOKUP(A96,Gifts,6))</f>
        <v>-132000</v>
      </c>
      <c r="T96" s="126">
        <f ca="1">IF(A96&gt;'Additional Input'!$E$11,"",N96+Q96+R96+S96)</f>
        <v>-132000</v>
      </c>
    </row>
    <row r="97" spans="1:20">
      <c r="A97" s="650">
        <f t="shared" si="3"/>
        <v>25</v>
      </c>
      <c r="B97" s="651" t="str">
        <f ca="1">IF(A97&gt;'Additional Input'!$E$11,"",IF('Additional Input'!$N$9="","",'Additional Input'!$N$9+Projections!A97)&amp;"/"&amp;IF('Additional Input'!$O$9="","",IF('Additional Input'!$O$9=0,"",'Additional Input'!$O$9+Projections!A97)))</f>
        <v>85/85</v>
      </c>
      <c r="C97" s="650">
        <f ca="1">IF(A97&gt;'Additional Input'!$E$11,"",+C96+1)</f>
        <v>25</v>
      </c>
      <c r="D97" s="652">
        <f ca="1">IF(A97&gt;'Additional Input'!$E$11,"",($D96*(1+'Additional Input'!$F$26))+$N96+$Q96+$R96+$S96+VLOOKUP(A96,Gifts,6)-VLOOKUP(A97,Gifts,6))</f>
        <v>35492481.071279258</v>
      </c>
      <c r="E97" s="653">
        <f ca="1">IF(A97&gt;'Additional Input'!$E$11,"",E96*(1+'Additional Input'!$F$28))</f>
        <v>0</v>
      </c>
      <c r="F97" s="653">
        <f ca="1">IF(A97&gt;'Additional Input'!$E$11,"",($F96*(1+'Additional Input'!$F$27))-$Q96+IF(('Additional Input'!$K$40)&gt;A96,'Additional Input'!$D$40*(1+IF('Additional Input'!$H$40=TRUE,'Additional Input'!$D$13,0))^A96,0)+IF(('Additional Input'!$K$40)&gt;A96,'Additional Input'!$F$40*(1+IF('Additional Input'!$H$40=TRUE,'Additional Input'!$D$13,0))^A96,0))</f>
        <v>0</v>
      </c>
      <c r="G97" s="853">
        <f ca="1">IF(A97&gt;'Additional Input'!$E$11,"",-VLOOKUP(A97*12,Amortization,2))</f>
        <v>0</v>
      </c>
      <c r="H97" s="652">
        <f ca="1">IF(A97&gt;'Additional Input'!$E$11,"",IF(A97&lt;=Calculator!$F$7,Calculator!$D$7,0)+Calculator!$D$8-IF(A97&gt;3,Calculator!$H$8,0))</f>
        <v>0</v>
      </c>
      <c r="I97" s="652">
        <f ca="1">IF(A97&gt;'Additional Input'!$E$11,"",D97+E97+F97+G97+H97)</f>
        <v>35492481.071279258</v>
      </c>
      <c r="J97" s="720">
        <f ca="1">IF(A97&gt;'Additional Input'!$E$11,"",VLOOKUP(A97,Gifts,11))</f>
        <v>4495063.9010320855</v>
      </c>
      <c r="K97" s="721">
        <f ca="1">IF(A97&gt;'Additional Input'!$E$11,"",IF(A97&gt;3,Calculator!$H$8,0))</f>
        <v>0</v>
      </c>
      <c r="L97" s="652">
        <f ca="1">IF(A97&gt;'Additional Input'!$E$11,"",J97+K97)</f>
        <v>4495063.9010320855</v>
      </c>
      <c r="M97" s="654">
        <f ca="1">IF(A97&gt;'Additional Input'!$E$11,"",(D97*'Additional Input'!$F$26)+(E97*'Additional Input'!$F$28)+(F97*'Additional Input'!$F$27))</f>
        <v>1419699.2428511702</v>
      </c>
      <c r="N97" s="654">
        <f ca="1">IF(A97&gt;'Additional Input'!$E$11,"",IF(('Additional Input'!$K$35)&gt;Projections!A97,'Additional Input'!$D$35*(1+IF('Additional Input'!$H$35=TRUE,'Additional Input'!$D$13,0))^Projections!A97,0)+IF(('Additional Input'!$K$36)&gt;Projections!A97,'Additional Input'!$D$36*(1+IF('Additional Input'!$H$36=TRUE,'Additional Input'!$D$13,0))^Projections!A97,0)-IF(('Additional Input'!$K$40)&gt;A97,'Additional Input'!$D$40*(1+IF('Additional Input'!$H$39=TRUE,'Additional Input'!$D$13,0))^A97,0)+IF(('Additional Input'!$F$37-'Additional Input'!$N$9)&lt;=Projections!A97,'Additional Input'!$D$37*(1+IF('Additional Input'!$H$37=TRUE,'Additional Input'!$D$13,0))^IF('Additional Input'!$K$37=TRUE,Projections!A97,Projections!A97-('Additional Input'!$F$37-'Additional Input'!$N$9)),0)+Adjustments!C97)</f>
        <v>0</v>
      </c>
      <c r="O97" s="824">
        <f ca="1">IF(A97&gt;'Additional Input'!$E$11,"",IF(('Additional Input'!$N$9+Projections!$A97)&gt;=IF('Additional Input'!$K$44=TRUE,71,70),VLOOKUP(('Additional Input'!$N$9+Projections!$A97),UniformTable,2),0))</f>
        <v>14.8</v>
      </c>
      <c r="P97" s="825">
        <f ca="1">IF(A97&gt;'Additional Input'!$E$11,"",IF($O97=0,0,$F97/$O97))</f>
        <v>0</v>
      </c>
      <c r="Q97" s="654">
        <f ca="1">IF(A97&gt;'Additional Input'!$E$11,"",IF(IF('Additional Input'!$D$44=TRUE,IF($O97=0,0,$F97/$O97),IF('Additional Input'!$F$45-'Additional Input'!$N$9&lt;=Projections!$A97,IF($F97*(1+$F$4)&lt;'Additional Input'!$D$45*IF('Additional Input'!$H$45=TRUE,(1+'Additional Input'!$D$13)^IF('Additional Input'!$K$45=TRUE,$A97,$A97-('Additional Input'!$F$45-'Additional Input'!$N$9)),1),$F97*(1+$F$4),'Additional Input'!$D$45*IF('Additional Input'!$H$45=TRUE,(1+'Additional Input'!$D$13)^IF('Additional Input'!$K$45=TRUE,$A97,$A97-('Additional Input'!$F$45-'Additional Input'!$N$9)),1)),0))&lt;$P97,$P97,IF('Additional Input'!$D$44=TRUE,IF($O97=0,0,$F97/$O97),IF('Additional Input'!$F$45-'Additional Input'!$N$9&lt;=Projections!$A97,IF($F97*(1+$F$4)&lt;'Additional Input'!$D$45*IF('Additional Input'!$H$45=TRUE,(1+'Additional Input'!$D$13)^IF('Additional Input'!$K$45=TRUE,$A97,$A97-('Additional Input'!$F$45-'Additional Input'!$N$9)),1),$F97*(1+$F$4),'Additional Input'!$D$45*IF('Additional Input'!$H$45=TRUE,(1+'Additional Input'!$D$13)^IF('Additional Input'!$K$45=TRUE,$A97,$A97-('Additional Input'!$F$45-'Additional Input'!$N$9)),1)),0)))+Adjustments!D97)</f>
        <v>0</v>
      </c>
      <c r="R97" s="656">
        <f ca="1">IF(A97&gt;'Additional Input'!$E$11,"",-((N97+Q97)*'Additional Input'!$D$12)+Adjustments!E97)</f>
        <v>0</v>
      </c>
      <c r="S97" s="656">
        <f ca="1">IF(A97&gt;'Additional Input'!$E$11,"",IF($A97&gt;='Additional Input'!$D$19,-'Additional Input'!$D$18*(1+IF('Additional Input'!$F$18=TRUE,'Additional Input'!$D$13,0))^Projections!A97,0)-TaxTables!D56+Adjustments!F97-VLOOKUP(A97,Gifts,6))</f>
        <v>-132000</v>
      </c>
      <c r="T97" s="654">
        <f ca="1">IF(A97&gt;'Additional Input'!$E$11,"",N97+Q97+R97+S97)</f>
        <v>-132000</v>
      </c>
    </row>
    <row r="98" spans="1:20">
      <c r="A98" s="122">
        <f t="shared" si="3"/>
        <v>26</v>
      </c>
      <c r="B98" s="110" t="str">
        <f ca="1">IF(A98&gt;'Additional Input'!$E$11,"",IF('Additional Input'!$N$9="","",'Additional Input'!$N$9+Projections!A98)&amp;"/"&amp;IF('Additional Input'!$O$9="","",IF('Additional Input'!$O$9=0,"",'Additional Input'!$O$9+Projections!A98)))</f>
        <v>86/86</v>
      </c>
      <c r="C98" s="122">
        <f ca="1">IF(A98&gt;'Additional Input'!$E$11,"",+C97+1)</f>
        <v>26</v>
      </c>
      <c r="D98" s="159">
        <f ca="1">IF(A98&gt;'Additional Input'!$E$11,"",($D97*(1+'Additional Input'!$F$26))+$N97+$Q97+$R97+$S97+VLOOKUP(A97,Gifts,6)-VLOOKUP(A98,Gifts,6))</f>
        <v>36774180.314130425</v>
      </c>
      <c r="E98" s="159">
        <f ca="1">IF(A98&gt;'Additional Input'!$E$11,"",E97*(1+'Additional Input'!$F$28))</f>
        <v>0</v>
      </c>
      <c r="F98" s="159">
        <f ca="1">IF(A98&gt;'Additional Input'!$E$11,"",($F97*(1+'Additional Input'!$F$27))-$Q97+IF(('Additional Input'!$K$40)&gt;A97,'Additional Input'!$D$40*(1+IF('Additional Input'!$H$40=TRUE,'Additional Input'!$D$13,0))^A97,0)+IF(('Additional Input'!$K$40)&gt;A97,'Additional Input'!$F$40*(1+IF('Additional Input'!$H$40=TRUE,'Additional Input'!$D$13,0))^A97,0))</f>
        <v>0</v>
      </c>
      <c r="G98" s="646">
        <f ca="1">IF(A98&gt;'Additional Input'!$E$11,"",-VLOOKUP(A98*12,Amortization,2))</f>
        <v>0</v>
      </c>
      <c r="H98" s="159">
        <f ca="1">IF(A98&gt;'Additional Input'!$E$11,"",IF(A98&lt;=Calculator!$F$7,Calculator!$D$7,0)+Calculator!$D$8-IF(A98&gt;3,Calculator!$H$8,0))</f>
        <v>0</v>
      </c>
      <c r="I98" s="159">
        <f ca="1">IF(A98&gt;'Additional Input'!$E$11,"",D98+E98+F98+G98+H98)</f>
        <v>36774180.314130425</v>
      </c>
      <c r="J98" s="646">
        <f ca="1">IF(A98&gt;'Additional Input'!$E$11,"",VLOOKUP(A98,Gifts,11))</f>
        <v>4812866.4570733691</v>
      </c>
      <c r="K98" s="159">
        <f ca="1">IF(A98&gt;'Additional Input'!$E$11,"",IF(A98&gt;3,Calculator!$H$8,0))</f>
        <v>0</v>
      </c>
      <c r="L98" s="159">
        <f ca="1">IF(A98&gt;'Additional Input'!$E$11,"",J98+K98)</f>
        <v>4812866.4570733691</v>
      </c>
      <c r="M98" s="126">
        <f ca="1">IF(A98&gt;'Additional Input'!$E$11,"",(D98*'Additional Input'!$F$26)+(E98*'Additional Input'!$F$28)+(F98*'Additional Input'!$F$27))</f>
        <v>1470967.2125652169</v>
      </c>
      <c r="N98" s="126">
        <f ca="1">IF(A98&gt;'Additional Input'!$E$11,"",IF(('Additional Input'!$K$35)&gt;Projections!A98,'Additional Input'!$D$35*(1+IF('Additional Input'!$H$35=TRUE,'Additional Input'!$D$13,0))^Projections!A98,0)+IF(('Additional Input'!$K$36)&gt;Projections!A98,'Additional Input'!$D$36*(1+IF('Additional Input'!$H$36=TRUE,'Additional Input'!$D$13,0))^Projections!A98,0)-IF(('Additional Input'!$K$40)&gt;A98,'Additional Input'!$D$40*(1+IF('Additional Input'!$H$39=TRUE,'Additional Input'!$D$13,0))^A98,0)+IF(('Additional Input'!$F$37-'Additional Input'!$N$9)&lt;=Projections!A98,'Additional Input'!$D$37*(1+IF('Additional Input'!$H$37=TRUE,'Additional Input'!$D$13,0))^IF('Additional Input'!$K$37=TRUE,Projections!A98,Projections!A98-('Additional Input'!$F$37-'Additional Input'!$N$9)),0)+Adjustments!C98)</f>
        <v>0</v>
      </c>
      <c r="O98" s="823">
        <f ca="1">IF(A98&gt;'Additional Input'!$E$11,"",IF(('Additional Input'!$N$9+Projections!$A98)&gt;=IF('Additional Input'!$K$44=TRUE,71,70),VLOOKUP(('Additional Input'!$N$9+Projections!$A98),UniformTable,2),0))</f>
        <v>14.1</v>
      </c>
      <c r="P98" s="822">
        <f ca="1">IF(A98&gt;'Additional Input'!$E$11,"",IF($O98=0,0,$F98/$O98))</f>
        <v>0</v>
      </c>
      <c r="Q98" s="178">
        <f ca="1">IF(A98&gt;'Additional Input'!$E$11,"",IF(IF('Additional Input'!$D$44=TRUE,IF($O98=0,0,$F98/$O98),IF('Additional Input'!$F$45-'Additional Input'!$N$9&lt;=Projections!$A98,IF($F98*(1+$F$4)&lt;'Additional Input'!$D$45*IF('Additional Input'!$H$45=TRUE,(1+'Additional Input'!$D$13)^IF('Additional Input'!$K$45=TRUE,$A98,$A98-('Additional Input'!$F$45-'Additional Input'!$N$9)),1),$F98*(1+$F$4),'Additional Input'!$D$45*IF('Additional Input'!$H$45=TRUE,(1+'Additional Input'!$D$13)^IF('Additional Input'!$K$45=TRUE,$A98,$A98-('Additional Input'!$F$45-'Additional Input'!$N$9)),1)),0))&lt;$P98,$P98,IF('Additional Input'!$D$44=TRUE,IF($O98=0,0,$F98/$O98),IF('Additional Input'!$F$45-'Additional Input'!$N$9&lt;=Projections!$A98,IF($F98*(1+$F$4)&lt;'Additional Input'!$D$45*IF('Additional Input'!$H$45=TRUE,(1+'Additional Input'!$D$13)^IF('Additional Input'!$K$45=TRUE,$A98,$A98-('Additional Input'!$F$45-'Additional Input'!$N$9)),1),$F98*(1+$F$4),'Additional Input'!$D$45*IF('Additional Input'!$H$45=TRUE,(1+'Additional Input'!$D$13)^IF('Additional Input'!$K$45=TRUE,$A98,$A98-('Additional Input'!$F$45-'Additional Input'!$N$9)),1)),0)))+Adjustments!D98)</f>
        <v>0</v>
      </c>
      <c r="R98" s="571">
        <f ca="1">IF(A98&gt;'Additional Input'!$E$11,"",-((N98+Q98)*'Additional Input'!$D$12)+Adjustments!E98)</f>
        <v>0</v>
      </c>
      <c r="S98" s="571">
        <f ca="1">IF(A98&gt;'Additional Input'!$E$11,"",IF($A98&gt;='Additional Input'!$D$19,-'Additional Input'!$D$18*(1+IF('Additional Input'!$F$18=TRUE,'Additional Input'!$D$13,0))^Projections!A98,0)-TaxTables!D57+Adjustments!F98-VLOOKUP(A98,Gifts,6))</f>
        <v>-138000</v>
      </c>
      <c r="T98" s="126">
        <f ca="1">IF(A98&gt;'Additional Input'!$E$11,"",N98+Q98+R98+S98)</f>
        <v>-138000</v>
      </c>
    </row>
    <row r="99" spans="1:20">
      <c r="A99" s="122">
        <f t="shared" si="3"/>
        <v>27</v>
      </c>
      <c r="B99" s="110" t="str">
        <f ca="1">IF(A99&gt;'Additional Input'!$E$11,"",IF('Additional Input'!$N$9="","",'Additional Input'!$N$9+Projections!A99)&amp;"/"&amp;IF('Additional Input'!$O$9="","",IF('Additional Input'!$O$9=0,"",'Additional Input'!$O$9+Projections!A99)))</f>
        <v>87/87</v>
      </c>
      <c r="C99" s="122">
        <f ca="1">IF(A99&gt;'Additional Input'!$E$11,"",+C98+1)</f>
        <v>27</v>
      </c>
      <c r="D99" s="159">
        <f ca="1">IF(A99&gt;'Additional Input'!$E$11,"",($D98*(1+'Additional Input'!$F$26))+$N98+$Q98+$R98+$S98+VLOOKUP(A98,Gifts,6)-VLOOKUP(A99,Gifts,6))</f>
        <v>38107147.526695646</v>
      </c>
      <c r="E99" s="159">
        <f ca="1">IF(A99&gt;'Additional Input'!$E$11,"",E98*(1+'Additional Input'!$F$28))</f>
        <v>0</v>
      </c>
      <c r="F99" s="159">
        <f ca="1">IF(A99&gt;'Additional Input'!$E$11,"",($F98*(1+'Additional Input'!$F$27))-$Q98+IF(('Additional Input'!$K$40)&gt;A98,'Additional Input'!$D$40*(1+IF('Additional Input'!$H$40=TRUE,'Additional Input'!$D$13,0))^A98,0)+IF(('Additional Input'!$K$40)&gt;A98,'Additional Input'!$F$40*(1+IF('Additional Input'!$H$40=TRUE,'Additional Input'!$D$13,0))^A98,0))</f>
        <v>0</v>
      </c>
      <c r="G99" s="646">
        <f ca="1">IF(A99&gt;'Additional Input'!$E$11,"",-VLOOKUP(A99*12,Amortization,2))</f>
        <v>0</v>
      </c>
      <c r="H99" s="159">
        <f ca="1">IF(A99&gt;'Additional Input'!$E$11,"",IF(A99&lt;=Calculator!$F$7,Calculator!$D$7,0)+Calculator!$D$8-IF(A99&gt;3,Calculator!$H$8,0))</f>
        <v>0</v>
      </c>
      <c r="I99" s="159">
        <f ca="1">IF(A99&gt;'Additional Input'!$E$11,"",D99+E99+F99+G99+H99)</f>
        <v>38107147.526695646</v>
      </c>
      <c r="J99" s="646">
        <f ca="1">IF(A99&gt;'Additional Input'!$E$11,"",VLOOKUP(A99,Gifts,11))</f>
        <v>5143381.1153563038</v>
      </c>
      <c r="K99" s="159">
        <f ca="1">IF(A99&gt;'Additional Input'!$E$11,"",IF(A99&gt;3,Calculator!$H$8,0))</f>
        <v>0</v>
      </c>
      <c r="L99" s="159">
        <f ca="1">IF(A99&gt;'Additional Input'!$E$11,"",J99+K99)</f>
        <v>5143381.1153563038</v>
      </c>
      <c r="M99" s="126">
        <f ca="1">IF(A99&gt;'Additional Input'!$E$11,"",(D99*'Additional Input'!$F$26)+(E99*'Additional Input'!$F$28)+(F99*'Additional Input'!$F$27))</f>
        <v>1524285.901067826</v>
      </c>
      <c r="N99" s="126">
        <f ca="1">IF(A99&gt;'Additional Input'!$E$11,"",IF(('Additional Input'!$K$35)&gt;Projections!A99,'Additional Input'!$D$35*(1+IF('Additional Input'!$H$35=TRUE,'Additional Input'!$D$13,0))^Projections!A99,0)+IF(('Additional Input'!$K$36)&gt;Projections!A99,'Additional Input'!$D$36*(1+IF('Additional Input'!$H$36=TRUE,'Additional Input'!$D$13,0))^Projections!A99,0)-IF(('Additional Input'!$K$40)&gt;A99,'Additional Input'!$D$40*(1+IF('Additional Input'!$H$39=TRUE,'Additional Input'!$D$13,0))^A99,0)+IF(('Additional Input'!$F$37-'Additional Input'!$N$9)&lt;=Projections!A99,'Additional Input'!$D$37*(1+IF('Additional Input'!$H$37=TRUE,'Additional Input'!$D$13,0))^IF('Additional Input'!$K$37=TRUE,Projections!A99,Projections!A99-('Additional Input'!$F$37-'Additional Input'!$N$9)),0)+Adjustments!C99)</f>
        <v>0</v>
      </c>
      <c r="O99" s="823">
        <f ca="1">IF(A99&gt;'Additional Input'!$E$11,"",IF(('Additional Input'!$N$9+Projections!$A99)&gt;=IF('Additional Input'!$K$44=TRUE,71,70),VLOOKUP(('Additional Input'!$N$9+Projections!$A99),UniformTable,2),0))</f>
        <v>13.4</v>
      </c>
      <c r="P99" s="822">
        <f ca="1">IF(A99&gt;'Additional Input'!$E$11,"",IF($O99=0,0,$F99/$O99))</f>
        <v>0</v>
      </c>
      <c r="Q99" s="178">
        <f ca="1">IF(A99&gt;'Additional Input'!$E$11,"",IF(IF('Additional Input'!$D$44=TRUE,IF($O99=0,0,$F99/$O99),IF('Additional Input'!$F$45-'Additional Input'!$N$9&lt;=Projections!$A99,IF($F99*(1+$F$4)&lt;'Additional Input'!$D$45*IF('Additional Input'!$H$45=TRUE,(1+'Additional Input'!$D$13)^IF('Additional Input'!$K$45=TRUE,$A99,$A99-('Additional Input'!$F$45-'Additional Input'!$N$9)),1),$F99*(1+$F$4),'Additional Input'!$D$45*IF('Additional Input'!$H$45=TRUE,(1+'Additional Input'!$D$13)^IF('Additional Input'!$K$45=TRUE,$A99,$A99-('Additional Input'!$F$45-'Additional Input'!$N$9)),1)),0))&lt;$P99,$P99,IF('Additional Input'!$D$44=TRUE,IF($O99=0,0,$F99/$O99),IF('Additional Input'!$F$45-'Additional Input'!$N$9&lt;=Projections!$A99,IF($F99*(1+$F$4)&lt;'Additional Input'!$D$45*IF('Additional Input'!$H$45=TRUE,(1+'Additional Input'!$D$13)^IF('Additional Input'!$K$45=TRUE,$A99,$A99-('Additional Input'!$F$45-'Additional Input'!$N$9)),1),$F99*(1+$F$4),'Additional Input'!$D$45*IF('Additional Input'!$H$45=TRUE,(1+'Additional Input'!$D$13)^IF('Additional Input'!$K$45=TRUE,$A99,$A99-('Additional Input'!$F$45-'Additional Input'!$N$9)),1)),0)))+Adjustments!D99)</f>
        <v>0</v>
      </c>
      <c r="R99" s="571">
        <f ca="1">IF(A99&gt;'Additional Input'!$E$11,"",-((N99+Q99)*'Additional Input'!$D$12)+Adjustments!E99)</f>
        <v>0</v>
      </c>
      <c r="S99" s="571">
        <f ca="1">IF(A99&gt;'Additional Input'!$E$11,"",IF($A99&gt;='Additional Input'!$D$19,-'Additional Input'!$D$18*(1+IF('Additional Input'!$F$18=TRUE,'Additional Input'!$D$13,0))^Projections!A99,0)-TaxTables!D58+Adjustments!F99-VLOOKUP(A99,Gifts,6))</f>
        <v>-138000</v>
      </c>
      <c r="T99" s="126">
        <f ca="1">IF(A99&gt;'Additional Input'!$E$11,"",N99+Q99+R99+S99)</f>
        <v>-138000</v>
      </c>
    </row>
    <row r="100" spans="1:20">
      <c r="A100" s="122">
        <f t="shared" si="3"/>
        <v>28</v>
      </c>
      <c r="B100" s="110" t="str">
        <f ca="1">IF(A100&gt;'Additional Input'!$E$11,"",IF('Additional Input'!$N$9="","",'Additional Input'!$N$9+Projections!A100)&amp;"/"&amp;IF('Additional Input'!$O$9="","",IF('Additional Input'!$O$9=0,"",'Additional Input'!$O$9+Projections!A100)))</f>
        <v>88/88</v>
      </c>
      <c r="C100" s="122">
        <f ca="1">IF(A100&gt;'Additional Input'!$E$11,"",+C99+1)</f>
        <v>28</v>
      </c>
      <c r="D100" s="159">
        <f ca="1">IF(A100&gt;'Additional Input'!$E$11,"",($D99*(1+'Additional Input'!$F$26))+$N99+$Q99+$R99+$S99+VLOOKUP(A99,Gifts,6)-VLOOKUP(A100,Gifts,6))</f>
        <v>39487433.427763477</v>
      </c>
      <c r="E100" s="159">
        <f ca="1">IF(A100&gt;'Additional Input'!$E$11,"",E99*(1+'Additional Input'!$F$28))</f>
        <v>0</v>
      </c>
      <c r="F100" s="159">
        <f ca="1">IF(A100&gt;'Additional Input'!$E$11,"",($F99*(1+'Additional Input'!$F$27))-$Q99+IF(('Additional Input'!$K$40)&gt;A99,'Additional Input'!$D$40*(1+IF('Additional Input'!$H$40=TRUE,'Additional Input'!$D$13,0))^A99,0)+IF(('Additional Input'!$K$40)&gt;A99,'Additional Input'!$F$40*(1+IF('Additional Input'!$H$40=TRUE,'Additional Input'!$D$13,0))^A99,0))</f>
        <v>0</v>
      </c>
      <c r="G100" s="646">
        <f ca="1">IF(A100&gt;'Additional Input'!$E$11,"",-VLOOKUP(A100*12,Amortization,2))</f>
        <v>0</v>
      </c>
      <c r="H100" s="159">
        <f ca="1">IF(A100&gt;'Additional Input'!$E$11,"",IF(A100&lt;=Calculator!$F$7,Calculator!$D$7,0)+Calculator!$D$8-IF(A100&gt;3,Calculator!$H$8,0))</f>
        <v>0</v>
      </c>
      <c r="I100" s="159">
        <f ca="1">IF(A100&gt;'Additional Input'!$E$11,"",D100+E100+F100+G100+H100)</f>
        <v>39487433.427763477</v>
      </c>
      <c r="J100" s="646">
        <f ca="1">IF(A100&gt;'Additional Input'!$E$11,"",VLOOKUP(A100,Gifts,11))</f>
        <v>5493116.3599705556</v>
      </c>
      <c r="K100" s="159">
        <f ca="1">IF(A100&gt;'Additional Input'!$E$11,"",IF(A100&gt;3,Calculator!$H$8,0))</f>
        <v>0</v>
      </c>
      <c r="L100" s="159">
        <f ca="1">IF(A100&gt;'Additional Input'!$E$11,"",J100+K100)</f>
        <v>5493116.3599705556</v>
      </c>
      <c r="M100" s="126">
        <f ca="1">IF(A100&gt;'Additional Input'!$E$11,"",(D100*'Additional Input'!$F$26)+(E100*'Additional Input'!$F$28)+(F100*'Additional Input'!$F$27))</f>
        <v>1579497.3371105392</v>
      </c>
      <c r="N100" s="126">
        <f ca="1">IF(A100&gt;'Additional Input'!$E$11,"",IF(('Additional Input'!$K$35)&gt;Projections!A100,'Additional Input'!$D$35*(1+IF('Additional Input'!$H$35=TRUE,'Additional Input'!$D$13,0))^Projections!A100,0)+IF(('Additional Input'!$K$36)&gt;Projections!A100,'Additional Input'!$D$36*(1+IF('Additional Input'!$H$36=TRUE,'Additional Input'!$D$13,0))^Projections!A100,0)-IF(('Additional Input'!$K$40)&gt;A100,'Additional Input'!$D$40*(1+IF('Additional Input'!$H$39=TRUE,'Additional Input'!$D$13,0))^A100,0)+IF(('Additional Input'!$F$37-'Additional Input'!$N$9)&lt;=Projections!A100,'Additional Input'!$D$37*(1+IF('Additional Input'!$H$37=TRUE,'Additional Input'!$D$13,0))^IF('Additional Input'!$K$37=TRUE,Projections!A100,Projections!A100-('Additional Input'!$F$37-'Additional Input'!$N$9)),0)+Adjustments!C100)</f>
        <v>0</v>
      </c>
      <c r="O100" s="823">
        <f ca="1">IF(A100&gt;'Additional Input'!$E$11,"",IF(('Additional Input'!$N$9+Projections!$A100)&gt;=IF('Additional Input'!$K$44=TRUE,71,70),VLOOKUP(('Additional Input'!$N$9+Projections!$A100),UniformTable,2),0))</f>
        <v>12.7</v>
      </c>
      <c r="P100" s="822">
        <f ca="1">IF(A100&gt;'Additional Input'!$E$11,"",IF($O100=0,0,$F100/$O100))</f>
        <v>0</v>
      </c>
      <c r="Q100" s="178">
        <f ca="1">IF(A100&gt;'Additional Input'!$E$11,"",IF(IF('Additional Input'!$D$44=TRUE,IF($O100=0,0,$F100/$O100),IF('Additional Input'!$F$45-'Additional Input'!$N$9&lt;=Projections!$A100,IF($F100*(1+$F$4)&lt;'Additional Input'!$D$45*IF('Additional Input'!$H$45=TRUE,(1+'Additional Input'!$D$13)^IF('Additional Input'!$K$45=TRUE,$A100,$A100-('Additional Input'!$F$45-'Additional Input'!$N$9)),1),$F100*(1+$F$4),'Additional Input'!$D$45*IF('Additional Input'!$H$45=TRUE,(1+'Additional Input'!$D$13)^IF('Additional Input'!$K$45=TRUE,$A100,$A100-('Additional Input'!$F$45-'Additional Input'!$N$9)),1)),0))&lt;$P100,$P100,IF('Additional Input'!$D$44=TRUE,IF($O100=0,0,$F100/$O100),IF('Additional Input'!$F$45-'Additional Input'!$N$9&lt;=Projections!$A100,IF($F100*(1+$F$4)&lt;'Additional Input'!$D$45*IF('Additional Input'!$H$45=TRUE,(1+'Additional Input'!$D$13)^IF('Additional Input'!$K$45=TRUE,$A100,$A100-('Additional Input'!$F$45-'Additional Input'!$N$9)),1),$F100*(1+$F$4),'Additional Input'!$D$45*IF('Additional Input'!$H$45=TRUE,(1+'Additional Input'!$D$13)^IF('Additional Input'!$K$45=TRUE,$A100,$A100-('Additional Input'!$F$45-'Additional Input'!$N$9)),1)),0)))+Adjustments!D100)</f>
        <v>0</v>
      </c>
      <c r="R100" s="571">
        <f ca="1">IF(A100&gt;'Additional Input'!$E$11,"",-((N100+Q100)*'Additional Input'!$D$12)+Adjustments!E100)</f>
        <v>0</v>
      </c>
      <c r="S100" s="571">
        <f ca="1">IF(A100&gt;'Additional Input'!$E$11,"",IF($A100&gt;='Additional Input'!$D$19,-'Additional Input'!$D$18*(1+IF('Additional Input'!$F$18=TRUE,'Additional Input'!$D$13,0))^Projections!A100,0)-TaxTables!D59+Adjustments!F100-VLOOKUP(A100,Gifts,6))</f>
        <v>-144000</v>
      </c>
      <c r="T100" s="126">
        <f ca="1">IF(A100&gt;'Additional Input'!$E$11,"",N100+Q100+R100+S100)</f>
        <v>-144000</v>
      </c>
    </row>
    <row r="101" spans="1:20">
      <c r="A101" s="122">
        <f t="shared" si="3"/>
        <v>29</v>
      </c>
      <c r="B101" s="110" t="str">
        <f ca="1">IF(A101&gt;'Additional Input'!$E$11,"",IF('Additional Input'!$N$9="","",'Additional Input'!$N$9+Projections!A101)&amp;"/"&amp;IF('Additional Input'!$O$9="","",IF('Additional Input'!$O$9=0,"",'Additional Input'!$O$9+Projections!A101)))</f>
        <v>89/89</v>
      </c>
      <c r="C101" s="122">
        <f ca="1">IF(A101&gt;'Additional Input'!$E$11,"",+C100+1)</f>
        <v>29</v>
      </c>
      <c r="D101" s="159">
        <f ca="1">IF(A101&gt;'Additional Input'!$E$11,"",($D100*(1+'Additional Input'!$F$26))+$N100+$Q100+$R100+$S100+VLOOKUP(A100,Gifts,6)-VLOOKUP(A101,Gifts,6))</f>
        <v>40922930.764874019</v>
      </c>
      <c r="E101" s="159">
        <f ca="1">IF(A101&gt;'Additional Input'!$E$11,"",E100*(1+'Additional Input'!$F$28))</f>
        <v>0</v>
      </c>
      <c r="F101" s="159">
        <f ca="1">IF(A101&gt;'Additional Input'!$E$11,"",($F100*(1+'Additional Input'!$F$27))-$Q100+IF(('Additional Input'!$K$40)&gt;A100,'Additional Input'!$D$40*(1+IF('Additional Input'!$H$40=TRUE,'Additional Input'!$D$13,0))^A100,0)+IF(('Additional Input'!$K$40)&gt;A100,'Additional Input'!$F$40*(1+IF('Additional Input'!$H$40=TRUE,'Additional Input'!$D$13,0))^A100,0))</f>
        <v>0</v>
      </c>
      <c r="G101" s="646">
        <f ca="1">IF(A101&gt;'Additional Input'!$E$11,"",-VLOOKUP(A101*12,Amortization,2))</f>
        <v>0</v>
      </c>
      <c r="H101" s="159">
        <f ca="1">IF(A101&gt;'Additional Input'!$E$11,"",IF(A101&lt;=Calculator!$F$7,Calculator!$D$7,0)+Calculator!$D$8-IF(A101&gt;3,Calculator!$H$8,0))</f>
        <v>0</v>
      </c>
      <c r="I101" s="159">
        <f ca="1">IF(A101&gt;'Additional Input'!$E$11,"",D101+E101+F101+G101+H101)</f>
        <v>40922930.764874019</v>
      </c>
      <c r="J101" s="646">
        <f ca="1">IF(A101&gt;'Additional Input'!$E$11,"",VLOOKUP(A101,Gifts,11))</f>
        <v>5856841.0143693779</v>
      </c>
      <c r="K101" s="159">
        <f ca="1">IF(A101&gt;'Additional Input'!$E$11,"",IF(A101&gt;3,Calculator!$H$8,0))</f>
        <v>0</v>
      </c>
      <c r="L101" s="159">
        <f ca="1">IF(A101&gt;'Additional Input'!$E$11,"",J101+K101)</f>
        <v>5856841.0143693779</v>
      </c>
      <c r="M101" s="126">
        <f ca="1">IF(A101&gt;'Additional Input'!$E$11,"",(D101*'Additional Input'!$F$26)+(E101*'Additional Input'!$F$28)+(F101*'Additional Input'!$F$27))</f>
        <v>1636917.2305949607</v>
      </c>
      <c r="N101" s="126">
        <f ca="1">IF(A101&gt;'Additional Input'!$E$11,"",IF(('Additional Input'!$K$35)&gt;Projections!A101,'Additional Input'!$D$35*(1+IF('Additional Input'!$H$35=TRUE,'Additional Input'!$D$13,0))^Projections!A101,0)+IF(('Additional Input'!$K$36)&gt;Projections!A101,'Additional Input'!$D$36*(1+IF('Additional Input'!$H$36=TRUE,'Additional Input'!$D$13,0))^Projections!A101,0)-IF(('Additional Input'!$K$40)&gt;A101,'Additional Input'!$D$40*(1+IF('Additional Input'!$H$39=TRUE,'Additional Input'!$D$13,0))^A101,0)+IF(('Additional Input'!$F$37-'Additional Input'!$N$9)&lt;=Projections!A101,'Additional Input'!$D$37*(1+IF('Additional Input'!$H$37=TRUE,'Additional Input'!$D$13,0))^IF('Additional Input'!$K$37=TRUE,Projections!A101,Projections!A101-('Additional Input'!$F$37-'Additional Input'!$N$9)),0)+Adjustments!C101)</f>
        <v>0</v>
      </c>
      <c r="O101" s="823">
        <f ca="1">IF(A101&gt;'Additional Input'!$E$11,"",IF(('Additional Input'!$N$9+Projections!$A101)&gt;=IF('Additional Input'!$K$44=TRUE,71,70),VLOOKUP(('Additional Input'!$N$9+Projections!$A101),UniformTable,2),0))</f>
        <v>12</v>
      </c>
      <c r="P101" s="822">
        <f ca="1">IF(A101&gt;'Additional Input'!$E$11,"",IF($O101=0,0,$F101/$O101))</f>
        <v>0</v>
      </c>
      <c r="Q101" s="178">
        <f ca="1">IF(A101&gt;'Additional Input'!$E$11,"",IF(IF('Additional Input'!$D$44=TRUE,IF($O101=0,0,$F101/$O101),IF('Additional Input'!$F$45-'Additional Input'!$N$9&lt;=Projections!$A101,IF($F101*(1+$F$4)&lt;'Additional Input'!$D$45*IF('Additional Input'!$H$45=TRUE,(1+'Additional Input'!$D$13)^IF('Additional Input'!$K$45=TRUE,$A101,$A101-('Additional Input'!$F$45-'Additional Input'!$N$9)),1),$F101*(1+$F$4),'Additional Input'!$D$45*IF('Additional Input'!$H$45=TRUE,(1+'Additional Input'!$D$13)^IF('Additional Input'!$K$45=TRUE,$A101,$A101-('Additional Input'!$F$45-'Additional Input'!$N$9)),1)),0))&lt;$P101,$P101,IF('Additional Input'!$D$44=TRUE,IF($O101=0,0,$F101/$O101),IF('Additional Input'!$F$45-'Additional Input'!$N$9&lt;=Projections!$A101,IF($F101*(1+$F$4)&lt;'Additional Input'!$D$45*IF('Additional Input'!$H$45=TRUE,(1+'Additional Input'!$D$13)^IF('Additional Input'!$K$45=TRUE,$A101,$A101-('Additional Input'!$F$45-'Additional Input'!$N$9)),1),$F101*(1+$F$4),'Additional Input'!$D$45*IF('Additional Input'!$H$45=TRUE,(1+'Additional Input'!$D$13)^IF('Additional Input'!$K$45=TRUE,$A101,$A101-('Additional Input'!$F$45-'Additional Input'!$N$9)),1)),0)))+Adjustments!D101)</f>
        <v>0</v>
      </c>
      <c r="R101" s="571">
        <f ca="1">IF(A101&gt;'Additional Input'!$E$11,"",-((N101+Q101)*'Additional Input'!$D$12)+Adjustments!E101)</f>
        <v>0</v>
      </c>
      <c r="S101" s="571">
        <f ca="1">IF(A101&gt;'Additional Input'!$E$11,"",IF($A101&gt;='Additional Input'!$D$19,-'Additional Input'!$D$18*(1+IF('Additional Input'!$F$18=TRUE,'Additional Input'!$D$13,0))^Projections!A101,0)-TaxTables!D60+Adjustments!F101-VLOOKUP(A101,Gifts,6))</f>
        <v>-144000</v>
      </c>
      <c r="T101" s="126">
        <f ca="1">IF(A101&gt;'Additional Input'!$E$11,"",N101+Q101+R101+S101)</f>
        <v>-144000</v>
      </c>
    </row>
    <row r="102" spans="1:20">
      <c r="A102" s="650">
        <f t="shared" si="3"/>
        <v>30</v>
      </c>
      <c r="B102" s="651" t="str">
        <f ca="1">IF(A102&gt;'Additional Input'!$E$11,"",IF('Additional Input'!$N$9="","",'Additional Input'!$N$9+Projections!A102)&amp;"/"&amp;IF('Additional Input'!$O$9="","",IF('Additional Input'!$O$9=0,"",'Additional Input'!$O$9+Projections!A102)))</f>
        <v>90/90</v>
      </c>
      <c r="C102" s="650">
        <f ca="1">IF(A102&gt;'Additional Input'!$E$11,"",+C101+1)</f>
        <v>30</v>
      </c>
      <c r="D102" s="652">
        <f ca="1">IF(A102&gt;'Additional Input'!$E$11,"",($D101*(1+'Additional Input'!$F$26))+$N101+$Q101+$R101+$S101+VLOOKUP(A101,Gifts,6)-VLOOKUP(A102,Gifts,6))</f>
        <v>42409847.995468982</v>
      </c>
      <c r="E102" s="653">
        <f ca="1">IF(A102&gt;'Additional Input'!$E$11,"",E101*(1+'Additional Input'!$F$28))</f>
        <v>0</v>
      </c>
      <c r="F102" s="653">
        <f ca="1">IF(A102&gt;'Additional Input'!$E$11,"",($F101*(1+'Additional Input'!$F$27))-$Q101+IF(('Additional Input'!$K$40)&gt;A101,'Additional Input'!$D$40*(1+IF('Additional Input'!$H$40=TRUE,'Additional Input'!$D$13,0))^A101,0)+IF(('Additional Input'!$K$40)&gt;A101,'Additional Input'!$F$40*(1+IF('Additional Input'!$H$40=TRUE,'Additional Input'!$D$13,0))^A101,0))</f>
        <v>0</v>
      </c>
      <c r="G102" s="853">
        <f ca="1">IF(A102&gt;'Additional Input'!$E$11,"",-VLOOKUP(A102*12,Amortization,2))</f>
        <v>0</v>
      </c>
      <c r="H102" s="652">
        <f ca="1">IF(A102&gt;'Additional Input'!$E$11,"",IF(A102&lt;=Calculator!$F$7,Calculator!$D$7,0)+Calculator!$D$8-IF(A102&gt;3,Calculator!$H$8,0))</f>
        <v>0</v>
      </c>
      <c r="I102" s="652">
        <f ca="1">IF(A102&gt;'Additional Input'!$E$11,"",D102+E102+F102+G102+H102)</f>
        <v>42409847.995468982</v>
      </c>
      <c r="J102" s="720">
        <f ca="1">IF(A102&gt;'Additional Input'!$E$11,"",VLOOKUP(A102,Gifts,11))</f>
        <v>6241114.6549441535</v>
      </c>
      <c r="K102" s="721">
        <f ca="1">IF(A102&gt;'Additional Input'!$E$11,"",IF(A102&gt;3,Calculator!$H$8,0))</f>
        <v>0</v>
      </c>
      <c r="L102" s="652">
        <f ca="1">IF(A102&gt;'Additional Input'!$E$11,"",J102+K102)</f>
        <v>6241114.6549441535</v>
      </c>
      <c r="M102" s="654">
        <f ca="1">IF(A102&gt;'Additional Input'!$E$11,"",(D102*'Additional Input'!$F$26)+(E102*'Additional Input'!$F$28)+(F102*'Additional Input'!$F$27))</f>
        <v>1696393.9198187592</v>
      </c>
      <c r="N102" s="654">
        <f ca="1">IF(A102&gt;'Additional Input'!$E$11,"",IF(('Additional Input'!$K$35)&gt;Projections!A102,'Additional Input'!$D$35*(1+IF('Additional Input'!$H$35=TRUE,'Additional Input'!$D$13,0))^Projections!A102,0)+IF(('Additional Input'!$K$36)&gt;Projections!A102,'Additional Input'!$D$36*(1+IF('Additional Input'!$H$36=TRUE,'Additional Input'!$D$13,0))^Projections!A102,0)-IF(('Additional Input'!$K$40)&gt;A102,'Additional Input'!$D$40*(1+IF('Additional Input'!$H$39=TRUE,'Additional Input'!$D$13,0))^A102,0)+IF(('Additional Input'!$F$37-'Additional Input'!$N$9)&lt;=Projections!A102,'Additional Input'!$D$37*(1+IF('Additional Input'!$H$37=TRUE,'Additional Input'!$D$13,0))^IF('Additional Input'!$K$37=TRUE,Projections!A102,Projections!A102-('Additional Input'!$F$37-'Additional Input'!$N$9)),0)+Adjustments!C102)</f>
        <v>0</v>
      </c>
      <c r="O102" s="824">
        <f ca="1">IF(A102&gt;'Additional Input'!$E$11,"",IF(('Additional Input'!$N$9+Projections!$A102)&gt;=IF('Additional Input'!$K$44=TRUE,71,70),VLOOKUP(('Additional Input'!$N$9+Projections!$A102),UniformTable,2),0))</f>
        <v>11.4</v>
      </c>
      <c r="P102" s="825">
        <f ca="1">IF(A102&gt;'Additional Input'!$E$11,"",IF($O102=0,0,$F102/$O102))</f>
        <v>0</v>
      </c>
      <c r="Q102" s="654">
        <f ca="1">IF(A102&gt;'Additional Input'!$E$11,"",IF(IF('Additional Input'!$D$44=TRUE,IF($O102=0,0,$F102/$O102),IF('Additional Input'!$F$45-'Additional Input'!$N$9&lt;=Projections!$A102,IF($F102*(1+$F$4)&lt;'Additional Input'!$D$45*IF('Additional Input'!$H$45=TRUE,(1+'Additional Input'!$D$13)^IF('Additional Input'!$K$45=TRUE,$A102,$A102-('Additional Input'!$F$45-'Additional Input'!$N$9)),1),$F102*(1+$F$4),'Additional Input'!$D$45*IF('Additional Input'!$H$45=TRUE,(1+'Additional Input'!$D$13)^IF('Additional Input'!$K$45=TRUE,$A102,$A102-('Additional Input'!$F$45-'Additional Input'!$N$9)),1)),0))&lt;$P102,$P102,IF('Additional Input'!$D$44=TRUE,IF($O102=0,0,$F102/$O102),IF('Additional Input'!$F$45-'Additional Input'!$N$9&lt;=Projections!$A102,IF($F102*(1+$F$4)&lt;'Additional Input'!$D$45*IF('Additional Input'!$H$45=TRUE,(1+'Additional Input'!$D$13)^IF('Additional Input'!$K$45=TRUE,$A102,$A102-('Additional Input'!$F$45-'Additional Input'!$N$9)),1),$F102*(1+$F$4),'Additional Input'!$D$45*IF('Additional Input'!$H$45=TRUE,(1+'Additional Input'!$D$13)^IF('Additional Input'!$K$45=TRUE,$A102,$A102-('Additional Input'!$F$45-'Additional Input'!$N$9)),1)),0)))+Adjustments!D102)</f>
        <v>0</v>
      </c>
      <c r="R102" s="656">
        <f ca="1">IF(A102&gt;'Additional Input'!$E$11,"",-((N102+Q102)*'Additional Input'!$D$12)+Adjustments!E102)</f>
        <v>0</v>
      </c>
      <c r="S102" s="656">
        <f ca="1">IF(A102&gt;'Additional Input'!$E$11,"",IF($A102&gt;='Additional Input'!$D$19,-'Additional Input'!$D$18*(1+IF('Additional Input'!$F$18=TRUE,'Additional Input'!$D$13,0))^Projections!A102,0)-TaxTables!D61+Adjustments!F102-VLOOKUP(A102,Gifts,6))</f>
        <v>-150000</v>
      </c>
      <c r="T102" s="654">
        <f ca="1">IF(A102&gt;'Additional Input'!$E$11,"",N102+Q102+R102+S102)</f>
        <v>-150000</v>
      </c>
    </row>
    <row r="103" spans="1:20">
      <c r="A103" s="122">
        <f t="shared" si="3"/>
        <v>31</v>
      </c>
      <c r="B103" s="110" t="str">
        <f ca="1">IF(A103&gt;'Additional Input'!$E$11,"",IF('Additional Input'!$N$9="","",'Additional Input'!$N$9+Projections!A103)&amp;"/"&amp;IF('Additional Input'!$O$9="","",IF('Additional Input'!$O$9=0,"",'Additional Input'!$O$9+Projections!A103)))</f>
        <v/>
      </c>
      <c r="C103" s="122" t="str">
        <f ca="1">IF(A103&gt;'Additional Input'!$E$11,"",+C102+1)</f>
        <v/>
      </c>
      <c r="D103" s="159" t="str">
        <f ca="1">IF(A103&gt;'Additional Input'!$E$11,"",($D102*(1+'Additional Input'!$F$26))+$N102+$Q102+$R102+$S102+VLOOKUP(A102,Gifts,6)-VLOOKUP(A103,Gifts,6))</f>
        <v/>
      </c>
      <c r="E103" s="159" t="str">
        <f ca="1">IF(A103&gt;'Additional Input'!$E$11,"",E102*(1+'Additional Input'!$F$28))</f>
        <v/>
      </c>
      <c r="F103" s="159" t="str">
        <f ca="1">IF(A103&gt;'Additional Input'!$E$11,"",($F102*(1+'Additional Input'!$F$27))-$Q102+IF(('Additional Input'!$K$40)&gt;A102,'Additional Input'!$D$40*(1+IF('Additional Input'!$H$40=TRUE,'Additional Input'!$D$13,0))^A102,0)+IF(('Additional Input'!$K$40)&gt;A102,'Additional Input'!$F$40*(1+IF('Additional Input'!$H$40=TRUE,'Additional Input'!$D$13,0))^A102,0))</f>
        <v/>
      </c>
      <c r="G103" s="646" t="str">
        <f ca="1">IF(A103&gt;'Additional Input'!$E$11,"",-VLOOKUP(A103*12,Amortization,2))</f>
        <v/>
      </c>
      <c r="H103" s="159" t="str">
        <f ca="1">IF(A103&gt;'Additional Input'!$E$11,"",IF(A103&lt;=Calculator!$F$7,Calculator!$D$7,0)+Calculator!$D$8-IF(A103&gt;3,Calculator!$H$8,0))</f>
        <v/>
      </c>
      <c r="I103" s="159" t="str">
        <f ca="1">IF(A103&gt;'Additional Input'!$E$11,"",D103+E103+F103+G103+H103)</f>
        <v/>
      </c>
      <c r="J103" s="646" t="str">
        <f ca="1">IF(A103&gt;'Additional Input'!$E$11,"",VLOOKUP(A103,Gifts,11))</f>
        <v/>
      </c>
      <c r="K103" s="159" t="str">
        <f ca="1">IF(A103&gt;'Additional Input'!$E$11,"",IF(A103&gt;3,Calculator!$H$8,0))</f>
        <v/>
      </c>
      <c r="L103" s="159" t="str">
        <f ca="1">IF(A103&gt;'Additional Input'!$E$11,"",J103+K103)</f>
        <v/>
      </c>
      <c r="M103" s="126" t="str">
        <f ca="1">IF(A103&gt;'Additional Input'!$E$11,"",(D103*'Additional Input'!$F$26)+(E103*'Additional Input'!$F$28)+(F103*'Additional Input'!$F$27))</f>
        <v/>
      </c>
      <c r="N103" s="126" t="str">
        <f ca="1">IF(A103&gt;'Additional Input'!$E$11,"",IF(('Additional Input'!$K$35)&gt;Projections!A103,'Additional Input'!$D$35*(1+IF('Additional Input'!$H$35=TRUE,'Additional Input'!$D$13,0))^Projections!A103,0)+IF(('Additional Input'!$K$36)&gt;Projections!A103,'Additional Input'!$D$36*(1+IF('Additional Input'!$H$36=TRUE,'Additional Input'!$D$13,0))^Projections!A103,0)-IF(('Additional Input'!$K$40)&gt;A103,'Additional Input'!$D$40*(1+IF('Additional Input'!$H$39=TRUE,'Additional Input'!$D$13,0))^A103,0)+IF(('Additional Input'!$F$37-'Additional Input'!$N$9)&lt;=Projections!A103,'Additional Input'!$D$37*(1+IF('Additional Input'!$H$37=TRUE,'Additional Input'!$D$13,0))^IF('Additional Input'!$K$37=TRUE,Projections!A103,Projections!A103-('Additional Input'!$F$37-'Additional Input'!$N$9)),0)+Adjustments!C103)</f>
        <v/>
      </c>
      <c r="O103" s="823" t="str">
        <f ca="1">IF(A103&gt;'Additional Input'!$E$11,"",IF(('Additional Input'!$N$9+Projections!$A103)&gt;=IF('Additional Input'!$K$44=TRUE,71,70),VLOOKUP(('Additional Input'!$N$9+Projections!$A103),UniformTable,2),0))</f>
        <v/>
      </c>
      <c r="P103" s="822" t="str">
        <f ca="1">IF(A103&gt;'Additional Input'!$E$11,"",IF($O103=0,0,$F103/$O103))</f>
        <v/>
      </c>
      <c r="Q103" s="178" t="str">
        <f ca="1">IF(A103&gt;'Additional Input'!$E$11,"",IF(IF('Additional Input'!$D$44=TRUE,IF($O103=0,0,$F103/$O103),IF('Additional Input'!$F$45-'Additional Input'!$N$9&lt;=Projections!$A103,IF($F103*(1+$F$4)&lt;'Additional Input'!$D$45*IF('Additional Input'!$H$45=TRUE,(1+'Additional Input'!$D$13)^IF('Additional Input'!$K$45=TRUE,$A103,$A103-('Additional Input'!$F$45-'Additional Input'!$N$9)),1),$F103*(1+$F$4),'Additional Input'!$D$45*IF('Additional Input'!$H$45=TRUE,(1+'Additional Input'!$D$13)^IF('Additional Input'!$K$45=TRUE,$A103,$A103-('Additional Input'!$F$45-'Additional Input'!$N$9)),1)),0))&lt;$P103,$P103,IF('Additional Input'!$D$44=TRUE,IF($O103=0,0,$F103/$O103),IF('Additional Input'!$F$45-'Additional Input'!$N$9&lt;=Projections!$A103,IF($F103*(1+$F$4)&lt;'Additional Input'!$D$45*IF('Additional Input'!$H$45=TRUE,(1+'Additional Input'!$D$13)^IF('Additional Input'!$K$45=TRUE,$A103,$A103-('Additional Input'!$F$45-'Additional Input'!$N$9)),1),$F103*(1+$F$4),'Additional Input'!$D$45*IF('Additional Input'!$H$45=TRUE,(1+'Additional Input'!$D$13)^IF('Additional Input'!$K$45=TRUE,$A103,$A103-('Additional Input'!$F$45-'Additional Input'!$N$9)),1)),0)))+Adjustments!D103)</f>
        <v/>
      </c>
      <c r="R103" s="571" t="str">
        <f ca="1">IF(A103&gt;'Additional Input'!$E$11,"",-((N103+Q103)*'Additional Input'!$D$12)+Adjustments!E103)</f>
        <v/>
      </c>
      <c r="S103" s="571" t="str">
        <f ca="1">IF(A103&gt;'Additional Input'!$E$11,"",IF($A103&gt;='Additional Input'!$D$19,-'Additional Input'!$D$18*(1+IF('Additional Input'!$F$18=TRUE,'Additional Input'!$D$13,0))^Projections!A103,0)-TaxTables!D62+Adjustments!F103-VLOOKUP(A103,Gifts,6))</f>
        <v/>
      </c>
      <c r="T103" s="126" t="str">
        <f ca="1">IF(A103&gt;'Additional Input'!$E$11,"",N103+Q103+R103+S103)</f>
        <v/>
      </c>
    </row>
    <row r="104" spans="1:20">
      <c r="A104" s="122">
        <f t="shared" si="3"/>
        <v>32</v>
      </c>
      <c r="B104" s="110" t="str">
        <f ca="1">IF(A104&gt;'Additional Input'!$E$11,"",IF('Additional Input'!$N$9="","",'Additional Input'!$N$9+Projections!A104)&amp;"/"&amp;IF('Additional Input'!$O$9="","",IF('Additional Input'!$O$9=0,"",'Additional Input'!$O$9+Projections!A104)))</f>
        <v/>
      </c>
      <c r="C104" s="122" t="str">
        <f ca="1">IF(A104&gt;'Additional Input'!$E$11,"",+C103+1)</f>
        <v/>
      </c>
      <c r="D104" s="159" t="str">
        <f ca="1">IF(A104&gt;'Additional Input'!$E$11,"",($D103*(1+'Additional Input'!$F$26))+$N103+$Q103+$R103+$S103+VLOOKUP(A103,Gifts,6)-VLOOKUP(A104,Gifts,6))</f>
        <v/>
      </c>
      <c r="E104" s="159" t="str">
        <f ca="1">IF(A104&gt;'Additional Input'!$E$11,"",E103*(1+'Additional Input'!$F$28))</f>
        <v/>
      </c>
      <c r="F104" s="159" t="str">
        <f ca="1">IF(A104&gt;'Additional Input'!$E$11,"",($F103*(1+'Additional Input'!$F$27))-$Q103+IF(('Additional Input'!$K$40)&gt;A103,'Additional Input'!$D$40*(1+IF('Additional Input'!$H$40=TRUE,'Additional Input'!$D$13,0))^A103,0)+IF(('Additional Input'!$K$40)&gt;A103,'Additional Input'!$F$40*(1+IF('Additional Input'!$H$40=TRUE,'Additional Input'!$D$13,0))^A103,0))</f>
        <v/>
      </c>
      <c r="G104" s="646" t="str">
        <f ca="1">IF(A104&gt;'Additional Input'!$E$11,"",-VLOOKUP(A104*12,Amortization,2))</f>
        <v/>
      </c>
      <c r="H104" s="159" t="str">
        <f ca="1">IF(A104&gt;'Additional Input'!$E$11,"",IF(A104&lt;=Calculator!$F$7,Calculator!$D$7,0)+Calculator!$D$8-IF(A104&gt;3,Calculator!$H$8,0))</f>
        <v/>
      </c>
      <c r="I104" s="159" t="str">
        <f ca="1">IF(A104&gt;'Additional Input'!$E$11,"",D104+E104+F104+G104+H104)</f>
        <v/>
      </c>
      <c r="J104" s="646" t="str">
        <f ca="1">IF(A104&gt;'Additional Input'!$E$11,"",VLOOKUP(A104,Gifts,11))</f>
        <v/>
      </c>
      <c r="K104" s="159" t="str">
        <f ca="1">IF(A104&gt;'Additional Input'!$E$11,"",IF(A104&gt;3,Calculator!$H$8,0))</f>
        <v/>
      </c>
      <c r="L104" s="159" t="str">
        <f ca="1">IF(A104&gt;'Additional Input'!$E$11,"",J104+K104)</f>
        <v/>
      </c>
      <c r="M104" s="126" t="str">
        <f ca="1">IF(A104&gt;'Additional Input'!$E$11,"",(D104*'Additional Input'!$F$26)+(E104*'Additional Input'!$F$28)+(F104*'Additional Input'!$F$27))</f>
        <v/>
      </c>
      <c r="N104" s="126" t="str">
        <f ca="1">IF(A104&gt;'Additional Input'!$E$11,"",IF(('Additional Input'!$K$35)&gt;Projections!A104,'Additional Input'!$D$35*(1+IF('Additional Input'!$H$35=TRUE,'Additional Input'!$D$13,0))^Projections!A104,0)+IF(('Additional Input'!$K$36)&gt;Projections!A104,'Additional Input'!$D$36*(1+IF('Additional Input'!$H$36=TRUE,'Additional Input'!$D$13,0))^Projections!A104,0)-IF(('Additional Input'!$K$40)&gt;A104,'Additional Input'!$D$40*(1+IF('Additional Input'!$H$39=TRUE,'Additional Input'!$D$13,0))^A104,0)+IF(('Additional Input'!$F$37-'Additional Input'!$N$9)&lt;=Projections!A104,'Additional Input'!$D$37*(1+IF('Additional Input'!$H$37=TRUE,'Additional Input'!$D$13,0))^IF('Additional Input'!$K$37=TRUE,Projections!A104,Projections!A104-('Additional Input'!$F$37-'Additional Input'!$N$9)),0)+Adjustments!C104)</f>
        <v/>
      </c>
      <c r="O104" s="823" t="str">
        <f ca="1">IF(A104&gt;'Additional Input'!$E$11,"",IF(('Additional Input'!$N$9+Projections!$A104)&gt;=IF('Additional Input'!$K$44=TRUE,71,70),VLOOKUP(('Additional Input'!$N$9+Projections!$A104),UniformTable,2),0))</f>
        <v/>
      </c>
      <c r="P104" s="822" t="str">
        <f ca="1">IF(A104&gt;'Additional Input'!$E$11,"",IF($O104=0,0,$F104/$O104))</f>
        <v/>
      </c>
      <c r="Q104" s="178" t="str">
        <f ca="1">IF(A104&gt;'Additional Input'!$E$11,"",IF(IF('Additional Input'!$D$44=TRUE,IF($O104=0,0,$F104/$O104),IF('Additional Input'!$F$45-'Additional Input'!$N$9&lt;=Projections!$A104,IF($F104*(1+$F$4)&lt;'Additional Input'!$D$45*IF('Additional Input'!$H$45=TRUE,(1+'Additional Input'!$D$13)^IF('Additional Input'!$K$45=TRUE,$A104,$A104-('Additional Input'!$F$45-'Additional Input'!$N$9)),1),$F104*(1+$F$4),'Additional Input'!$D$45*IF('Additional Input'!$H$45=TRUE,(1+'Additional Input'!$D$13)^IF('Additional Input'!$K$45=TRUE,$A104,$A104-('Additional Input'!$F$45-'Additional Input'!$N$9)),1)),0))&lt;$P104,$P104,IF('Additional Input'!$D$44=TRUE,IF($O104=0,0,$F104/$O104),IF('Additional Input'!$F$45-'Additional Input'!$N$9&lt;=Projections!$A104,IF($F104*(1+$F$4)&lt;'Additional Input'!$D$45*IF('Additional Input'!$H$45=TRUE,(1+'Additional Input'!$D$13)^IF('Additional Input'!$K$45=TRUE,$A104,$A104-('Additional Input'!$F$45-'Additional Input'!$N$9)),1),$F104*(1+$F$4),'Additional Input'!$D$45*IF('Additional Input'!$H$45=TRUE,(1+'Additional Input'!$D$13)^IF('Additional Input'!$K$45=TRUE,$A104,$A104-('Additional Input'!$F$45-'Additional Input'!$N$9)),1)),0)))+Adjustments!D104)</f>
        <v/>
      </c>
      <c r="R104" s="571" t="str">
        <f ca="1">IF(A104&gt;'Additional Input'!$E$11,"",-((N104+Q104)*'Additional Input'!$D$12)+Adjustments!E104)</f>
        <v/>
      </c>
      <c r="S104" s="571" t="str">
        <f ca="1">IF(A104&gt;'Additional Input'!$E$11,"",IF($A104&gt;='Additional Input'!$D$19,-'Additional Input'!$D$18*(1+IF('Additional Input'!$F$18=TRUE,'Additional Input'!$D$13,0))^Projections!A104,0)-TaxTables!D63+Adjustments!F104-VLOOKUP(A104,Gifts,6))</f>
        <v/>
      </c>
      <c r="T104" s="126" t="str">
        <f ca="1">IF(A104&gt;'Additional Input'!$E$11,"",N104+Q104+R104+S104)</f>
        <v/>
      </c>
    </row>
    <row r="105" spans="1:20">
      <c r="A105" s="122">
        <f t="shared" si="3"/>
        <v>33</v>
      </c>
      <c r="B105" s="110" t="str">
        <f ca="1">IF(A105&gt;'Additional Input'!$E$11,"",IF('Additional Input'!$N$9="","",'Additional Input'!$N$9+Projections!A105)&amp;"/"&amp;IF('Additional Input'!$O$9="","",IF('Additional Input'!$O$9=0,"",'Additional Input'!$O$9+Projections!A105)))</f>
        <v/>
      </c>
      <c r="C105" s="122" t="str">
        <f ca="1">IF(A105&gt;'Additional Input'!$E$11,"",+C104+1)</f>
        <v/>
      </c>
      <c r="D105" s="159" t="str">
        <f ca="1">IF(A105&gt;'Additional Input'!$E$11,"",($D104*(1+'Additional Input'!$F$26))+$N104+$Q104+$R104+$S104+VLOOKUP(A104,Gifts,6)-VLOOKUP(A105,Gifts,6))</f>
        <v/>
      </c>
      <c r="E105" s="159" t="str">
        <f ca="1">IF(A105&gt;'Additional Input'!$E$11,"",E104*(1+'Additional Input'!$F$28))</f>
        <v/>
      </c>
      <c r="F105" s="159" t="str">
        <f ca="1">IF(A105&gt;'Additional Input'!$E$11,"",($F104*(1+'Additional Input'!$F$27))-$Q104+IF(('Additional Input'!$K$40)&gt;A104,'Additional Input'!$D$40*(1+IF('Additional Input'!$H$40=TRUE,'Additional Input'!$D$13,0))^A104,0)+IF(('Additional Input'!$K$40)&gt;A104,'Additional Input'!$F$40*(1+IF('Additional Input'!$H$40=TRUE,'Additional Input'!$D$13,0))^A104,0))</f>
        <v/>
      </c>
      <c r="G105" s="646" t="str">
        <f ca="1">IF(A105&gt;'Additional Input'!$E$11,"",-VLOOKUP(A105*12,Amortization,2))</f>
        <v/>
      </c>
      <c r="H105" s="159" t="str">
        <f ca="1">IF(A105&gt;'Additional Input'!$E$11,"",IF(A105&lt;=Calculator!$F$7,Calculator!$D$7,0)+Calculator!$D$8-IF(A105&gt;3,Calculator!$H$8,0))</f>
        <v/>
      </c>
      <c r="I105" s="159" t="str">
        <f ca="1">IF(A105&gt;'Additional Input'!$E$11,"",D105+E105+F105+G105+H105)</f>
        <v/>
      </c>
      <c r="J105" s="646" t="str">
        <f ca="1">IF(A105&gt;'Additional Input'!$E$11,"",VLOOKUP(A105,Gifts,11))</f>
        <v/>
      </c>
      <c r="K105" s="159" t="str">
        <f ca="1">IF(A105&gt;'Additional Input'!$E$11,"",IF(A105&gt;3,Calculator!$H$8,0))</f>
        <v/>
      </c>
      <c r="L105" s="159" t="str">
        <f ca="1">IF(A105&gt;'Additional Input'!$E$11,"",J105+K105)</f>
        <v/>
      </c>
      <c r="M105" s="126" t="str">
        <f ca="1">IF(A105&gt;'Additional Input'!$E$11,"",(D105*'Additional Input'!$F$26)+(E105*'Additional Input'!$F$28)+(F105*'Additional Input'!$F$27))</f>
        <v/>
      </c>
      <c r="N105" s="126" t="str">
        <f ca="1">IF(A105&gt;'Additional Input'!$E$11,"",IF(('Additional Input'!$K$35)&gt;Projections!A105,'Additional Input'!$D$35*(1+IF('Additional Input'!$H$35=TRUE,'Additional Input'!$D$13,0))^Projections!A105,0)+IF(('Additional Input'!$K$36)&gt;Projections!A105,'Additional Input'!$D$36*(1+IF('Additional Input'!$H$36=TRUE,'Additional Input'!$D$13,0))^Projections!A105,0)-IF(('Additional Input'!$K$40)&gt;A105,'Additional Input'!$D$40*(1+IF('Additional Input'!$H$39=TRUE,'Additional Input'!$D$13,0))^A105,0)+IF(('Additional Input'!$F$37-'Additional Input'!$N$9)&lt;=Projections!A105,'Additional Input'!$D$37*(1+IF('Additional Input'!$H$37=TRUE,'Additional Input'!$D$13,0))^IF('Additional Input'!$K$37=TRUE,Projections!A105,Projections!A105-('Additional Input'!$F$37-'Additional Input'!$N$9)),0)+Adjustments!C105)</f>
        <v/>
      </c>
      <c r="O105" s="823" t="str">
        <f ca="1">IF(A105&gt;'Additional Input'!$E$11,"",IF(('Additional Input'!$N$9+Projections!$A105)&gt;=IF('Additional Input'!$K$44=TRUE,71,70),VLOOKUP(('Additional Input'!$N$9+Projections!$A105),UniformTable,2),0))</f>
        <v/>
      </c>
      <c r="P105" s="822" t="str">
        <f ca="1">IF(A105&gt;'Additional Input'!$E$11,"",IF($O105=0,0,$F105/$O105))</f>
        <v/>
      </c>
      <c r="Q105" s="178" t="str">
        <f ca="1">IF(A105&gt;'Additional Input'!$E$11,"",IF(IF('Additional Input'!$D$44=TRUE,IF($O105=0,0,$F105/$O105),IF('Additional Input'!$F$45-'Additional Input'!$N$9&lt;=Projections!$A105,IF($F105*(1+$F$4)&lt;'Additional Input'!$D$45*IF('Additional Input'!$H$45=TRUE,(1+'Additional Input'!$D$13)^IF('Additional Input'!$K$45=TRUE,$A105,$A105-('Additional Input'!$F$45-'Additional Input'!$N$9)),1),$F105*(1+$F$4),'Additional Input'!$D$45*IF('Additional Input'!$H$45=TRUE,(1+'Additional Input'!$D$13)^IF('Additional Input'!$K$45=TRUE,$A105,$A105-('Additional Input'!$F$45-'Additional Input'!$N$9)),1)),0))&lt;$P105,$P105,IF('Additional Input'!$D$44=TRUE,IF($O105=0,0,$F105/$O105),IF('Additional Input'!$F$45-'Additional Input'!$N$9&lt;=Projections!$A105,IF($F105*(1+$F$4)&lt;'Additional Input'!$D$45*IF('Additional Input'!$H$45=TRUE,(1+'Additional Input'!$D$13)^IF('Additional Input'!$K$45=TRUE,$A105,$A105-('Additional Input'!$F$45-'Additional Input'!$N$9)),1),$F105*(1+$F$4),'Additional Input'!$D$45*IF('Additional Input'!$H$45=TRUE,(1+'Additional Input'!$D$13)^IF('Additional Input'!$K$45=TRUE,$A105,$A105-('Additional Input'!$F$45-'Additional Input'!$N$9)),1)),0)))+Adjustments!D105)</f>
        <v/>
      </c>
      <c r="R105" s="571" t="str">
        <f ca="1">IF(A105&gt;'Additional Input'!$E$11,"",-((N105+Q105)*'Additional Input'!$D$12)+Adjustments!E105)</f>
        <v/>
      </c>
      <c r="S105" s="571" t="str">
        <f ca="1">IF(A105&gt;'Additional Input'!$E$11,"",IF($A105&gt;='Additional Input'!$D$19,-'Additional Input'!$D$18*(1+IF('Additional Input'!$F$18=TRUE,'Additional Input'!$D$13,0))^Projections!A105,0)-TaxTables!D64+Adjustments!F105-VLOOKUP(A105,Gifts,6))</f>
        <v/>
      </c>
      <c r="T105" s="126" t="str">
        <f ca="1">IF(A105&gt;'Additional Input'!$E$11,"",N105+Q105+R105+S105)</f>
        <v/>
      </c>
    </row>
    <row r="106" spans="1:20">
      <c r="A106" s="122">
        <f t="shared" si="3"/>
        <v>34</v>
      </c>
      <c r="B106" s="110" t="str">
        <f ca="1">IF(A106&gt;'Additional Input'!$E$11,"",IF('Additional Input'!$N$9="","",'Additional Input'!$N$9+Projections!A106)&amp;"/"&amp;IF('Additional Input'!$O$9="","",IF('Additional Input'!$O$9=0,"",'Additional Input'!$O$9+Projections!A106)))</f>
        <v/>
      </c>
      <c r="C106" s="122" t="str">
        <f ca="1">IF(A106&gt;'Additional Input'!$E$11,"",+C105+1)</f>
        <v/>
      </c>
      <c r="D106" s="159" t="str">
        <f ca="1">IF(A106&gt;'Additional Input'!$E$11,"",($D105*(1+'Additional Input'!$F$26))+$N105+$Q105+$R105+$S105+VLOOKUP(A105,Gifts,6)-VLOOKUP(A106,Gifts,6))</f>
        <v/>
      </c>
      <c r="E106" s="159" t="str">
        <f ca="1">IF(A106&gt;'Additional Input'!$E$11,"",E105*(1+'Additional Input'!$F$28))</f>
        <v/>
      </c>
      <c r="F106" s="159" t="str">
        <f ca="1">IF(A106&gt;'Additional Input'!$E$11,"",($F105*(1+'Additional Input'!$F$27))-$Q105+IF(('Additional Input'!$K$40)&gt;A105,'Additional Input'!$D$40*(1+IF('Additional Input'!$H$40=TRUE,'Additional Input'!$D$13,0))^A105,0)+IF(('Additional Input'!$K$40)&gt;A105,'Additional Input'!$F$40*(1+IF('Additional Input'!$H$40=TRUE,'Additional Input'!$D$13,0))^A105,0))</f>
        <v/>
      </c>
      <c r="G106" s="646" t="str">
        <f ca="1">IF(A106&gt;'Additional Input'!$E$11,"",-VLOOKUP(A106*12,Amortization,2))</f>
        <v/>
      </c>
      <c r="H106" s="159" t="str">
        <f ca="1">IF(A106&gt;'Additional Input'!$E$11,"",IF(A106&lt;=Calculator!$F$7,Calculator!$D$7,0)+Calculator!$D$8-IF(A106&gt;3,Calculator!$H$8,0))</f>
        <v/>
      </c>
      <c r="I106" s="159" t="str">
        <f ca="1">IF(A106&gt;'Additional Input'!$E$11,"",D106+E106+F106+G106+H106)</f>
        <v/>
      </c>
      <c r="J106" s="646" t="str">
        <f ca="1">IF(A106&gt;'Additional Input'!$E$11,"",VLOOKUP(A106,Gifts,11))</f>
        <v/>
      </c>
      <c r="K106" s="159" t="str">
        <f ca="1">IF(A106&gt;'Additional Input'!$E$11,"",IF(A106&gt;3,Calculator!$H$8,0))</f>
        <v/>
      </c>
      <c r="L106" s="159" t="str">
        <f ca="1">IF(A106&gt;'Additional Input'!$E$11,"",J106+K106)</f>
        <v/>
      </c>
      <c r="M106" s="126" t="str">
        <f ca="1">IF(A106&gt;'Additional Input'!$E$11,"",(D106*'Additional Input'!$F$26)+(E106*'Additional Input'!$F$28)+(F106*'Additional Input'!$F$27))</f>
        <v/>
      </c>
      <c r="N106" s="126" t="str">
        <f ca="1">IF(A106&gt;'Additional Input'!$E$11,"",IF(('Additional Input'!$K$35)&gt;Projections!A106,'Additional Input'!$D$35*(1+IF('Additional Input'!$H$35=TRUE,'Additional Input'!$D$13,0))^Projections!A106,0)+IF(('Additional Input'!$K$36)&gt;Projections!A106,'Additional Input'!$D$36*(1+IF('Additional Input'!$H$36=TRUE,'Additional Input'!$D$13,0))^Projections!A106,0)-IF(('Additional Input'!$K$40)&gt;A106,'Additional Input'!$D$40*(1+IF('Additional Input'!$H$39=TRUE,'Additional Input'!$D$13,0))^A106,0)+IF(('Additional Input'!$F$37-'Additional Input'!$N$9)&lt;=Projections!A106,'Additional Input'!$D$37*(1+IF('Additional Input'!$H$37=TRUE,'Additional Input'!$D$13,0))^IF('Additional Input'!$K$37=TRUE,Projections!A106,Projections!A106-('Additional Input'!$F$37-'Additional Input'!$N$9)),0)+Adjustments!C106)</f>
        <v/>
      </c>
      <c r="O106" s="823" t="str">
        <f ca="1">IF(A106&gt;'Additional Input'!$E$11,"",IF(('Additional Input'!$N$9+Projections!$A106)&gt;=IF('Additional Input'!$K$44=TRUE,71,70),VLOOKUP(('Additional Input'!$N$9+Projections!$A106),UniformTable,2),0))</f>
        <v/>
      </c>
      <c r="P106" s="822" t="str">
        <f ca="1">IF(A106&gt;'Additional Input'!$E$11,"",IF($O106=0,0,$F106/$O106))</f>
        <v/>
      </c>
      <c r="Q106" s="178" t="str">
        <f ca="1">IF(A106&gt;'Additional Input'!$E$11,"",IF(IF('Additional Input'!$D$44=TRUE,IF($O106=0,0,$F106/$O106),IF('Additional Input'!$F$45-'Additional Input'!$N$9&lt;=Projections!$A106,IF($F106*(1+$F$4)&lt;'Additional Input'!$D$45*IF('Additional Input'!$H$45=TRUE,(1+'Additional Input'!$D$13)^IF('Additional Input'!$K$45=TRUE,$A106,$A106-('Additional Input'!$F$45-'Additional Input'!$N$9)),1),$F106*(1+$F$4),'Additional Input'!$D$45*IF('Additional Input'!$H$45=TRUE,(1+'Additional Input'!$D$13)^IF('Additional Input'!$K$45=TRUE,$A106,$A106-('Additional Input'!$F$45-'Additional Input'!$N$9)),1)),0))&lt;$P106,$P106,IF('Additional Input'!$D$44=TRUE,IF($O106=0,0,$F106/$O106),IF('Additional Input'!$F$45-'Additional Input'!$N$9&lt;=Projections!$A106,IF($F106*(1+$F$4)&lt;'Additional Input'!$D$45*IF('Additional Input'!$H$45=TRUE,(1+'Additional Input'!$D$13)^IF('Additional Input'!$K$45=TRUE,$A106,$A106-('Additional Input'!$F$45-'Additional Input'!$N$9)),1),$F106*(1+$F$4),'Additional Input'!$D$45*IF('Additional Input'!$H$45=TRUE,(1+'Additional Input'!$D$13)^IF('Additional Input'!$K$45=TRUE,$A106,$A106-('Additional Input'!$F$45-'Additional Input'!$N$9)),1)),0)))+Adjustments!D106)</f>
        <v/>
      </c>
      <c r="R106" s="571" t="str">
        <f ca="1">IF(A106&gt;'Additional Input'!$E$11,"",-((N106+Q106)*'Additional Input'!$D$12)+Adjustments!E106)</f>
        <v/>
      </c>
      <c r="S106" s="571" t="str">
        <f ca="1">IF(A106&gt;'Additional Input'!$E$11,"",IF($A106&gt;='Additional Input'!$D$19,-'Additional Input'!$D$18*(1+IF('Additional Input'!$F$18=TRUE,'Additional Input'!$D$13,0))^Projections!A106,0)-TaxTables!D65+Adjustments!F106-VLOOKUP(A106,Gifts,6))</f>
        <v/>
      </c>
      <c r="T106" s="126" t="str">
        <f ca="1">IF(A106&gt;'Additional Input'!$E$11,"",N106+Q106+R106+S106)</f>
        <v/>
      </c>
    </row>
    <row r="107" spans="1:20">
      <c r="A107" s="650">
        <f t="shared" si="3"/>
        <v>35</v>
      </c>
      <c r="B107" s="651" t="str">
        <f ca="1">IF(A107&gt;'Additional Input'!$E$11,"",IF('Additional Input'!$N$9="","",'Additional Input'!$N$9+Projections!A107)&amp;"/"&amp;IF('Additional Input'!$O$9="","",IF('Additional Input'!$O$9=0,"",'Additional Input'!$O$9+Projections!A107)))</f>
        <v/>
      </c>
      <c r="C107" s="650" t="str">
        <f ca="1">IF(A107&gt;'Additional Input'!$E$11,"",+C106+1)</f>
        <v/>
      </c>
      <c r="D107" s="652" t="str">
        <f ca="1">IF(A107&gt;'Additional Input'!$E$11,"",($D106*(1+'Additional Input'!$F$26))+$N106+$Q106+$R106+$S106+VLOOKUP(A106,Gifts,6)-VLOOKUP(A107,Gifts,6))</f>
        <v/>
      </c>
      <c r="E107" s="653" t="str">
        <f ca="1">IF(A107&gt;'Additional Input'!$E$11,"",E106*(1+'Additional Input'!$F$28))</f>
        <v/>
      </c>
      <c r="F107" s="653" t="str">
        <f ca="1">IF(A107&gt;'Additional Input'!$E$11,"",($F106*(1+'Additional Input'!$F$27))-$Q106+IF(('Additional Input'!$K$40)&gt;A106,'Additional Input'!$D$40*(1+IF('Additional Input'!$H$40=TRUE,'Additional Input'!$D$13,0))^A106,0)+IF(('Additional Input'!$K$40)&gt;A106,'Additional Input'!$F$40*(1+IF('Additional Input'!$H$40=TRUE,'Additional Input'!$D$13,0))^A106,0))</f>
        <v/>
      </c>
      <c r="G107" s="853" t="str">
        <f ca="1">IF(A107&gt;'Additional Input'!$E$11,"",-VLOOKUP(A107*12,Amortization,2))</f>
        <v/>
      </c>
      <c r="H107" s="652" t="str">
        <f ca="1">IF(A107&gt;'Additional Input'!$E$11,"",IF(A107&lt;=Calculator!$F$7,Calculator!$D$7,0)+Calculator!$D$8-IF(A107&gt;3,Calculator!$H$8,0))</f>
        <v/>
      </c>
      <c r="I107" s="652" t="str">
        <f ca="1">IF(A107&gt;'Additional Input'!$E$11,"",D107+E107+F107+G107+H107)</f>
        <v/>
      </c>
      <c r="J107" s="720" t="str">
        <f ca="1">IF(A107&gt;'Additional Input'!$E$11,"",VLOOKUP(A107,Gifts,11))</f>
        <v/>
      </c>
      <c r="K107" s="721" t="str">
        <f ca="1">IF(A107&gt;'Additional Input'!$E$11,"",IF(A107&gt;3,Calculator!$H$8,0))</f>
        <v/>
      </c>
      <c r="L107" s="652" t="str">
        <f ca="1">IF(A107&gt;'Additional Input'!$E$11,"",J107+K107)</f>
        <v/>
      </c>
      <c r="M107" s="654" t="str">
        <f ca="1">IF(A107&gt;'Additional Input'!$E$11,"",(D107*'Additional Input'!$F$26)+(E107*'Additional Input'!$F$28)+(F107*'Additional Input'!$F$27))</f>
        <v/>
      </c>
      <c r="N107" s="654" t="str">
        <f ca="1">IF(A107&gt;'Additional Input'!$E$11,"",IF(('Additional Input'!$K$35)&gt;Projections!A107,'Additional Input'!$D$35*(1+IF('Additional Input'!$H$35=TRUE,'Additional Input'!$D$13,0))^Projections!A107,0)+IF(('Additional Input'!$K$36)&gt;Projections!A107,'Additional Input'!$D$36*(1+IF('Additional Input'!$H$36=TRUE,'Additional Input'!$D$13,0))^Projections!A107,0)-IF(('Additional Input'!$K$40)&gt;A107,'Additional Input'!$D$40*(1+IF('Additional Input'!$H$39=TRUE,'Additional Input'!$D$13,0))^A107,0)+IF(('Additional Input'!$F$37-'Additional Input'!$N$9)&lt;=Projections!A107,'Additional Input'!$D$37*(1+IF('Additional Input'!$H$37=TRUE,'Additional Input'!$D$13,0))^IF('Additional Input'!$K$37=TRUE,Projections!A107,Projections!A107-('Additional Input'!$F$37-'Additional Input'!$N$9)),0)+Adjustments!C107)</f>
        <v/>
      </c>
      <c r="O107" s="824" t="str">
        <f ca="1">IF(A107&gt;'Additional Input'!$E$11,"",IF(('Additional Input'!$N$9+Projections!$A107)&gt;=IF('Additional Input'!$K$44=TRUE,71,70),VLOOKUP(('Additional Input'!$N$9+Projections!$A107),UniformTable,2),0))</f>
        <v/>
      </c>
      <c r="P107" s="825" t="str">
        <f ca="1">IF(A107&gt;'Additional Input'!$E$11,"",IF($O107=0,0,$F107/$O107))</f>
        <v/>
      </c>
      <c r="Q107" s="654" t="str">
        <f ca="1">IF(A107&gt;'Additional Input'!$E$11,"",IF(IF('Additional Input'!$D$44=TRUE,IF($O107=0,0,$F107/$O107),IF('Additional Input'!$F$45-'Additional Input'!$N$9&lt;=Projections!$A107,IF($F107*(1+$F$4)&lt;'Additional Input'!$D$45*IF('Additional Input'!$H$45=TRUE,(1+'Additional Input'!$D$13)^IF('Additional Input'!$K$45=TRUE,$A107,$A107-('Additional Input'!$F$45-'Additional Input'!$N$9)),1),$F107*(1+$F$4),'Additional Input'!$D$45*IF('Additional Input'!$H$45=TRUE,(1+'Additional Input'!$D$13)^IF('Additional Input'!$K$45=TRUE,$A107,$A107-('Additional Input'!$F$45-'Additional Input'!$N$9)),1)),0))&lt;$P107,$P107,IF('Additional Input'!$D$44=TRUE,IF($O107=0,0,$F107/$O107),IF('Additional Input'!$F$45-'Additional Input'!$N$9&lt;=Projections!$A107,IF($F107*(1+$F$4)&lt;'Additional Input'!$D$45*IF('Additional Input'!$H$45=TRUE,(1+'Additional Input'!$D$13)^IF('Additional Input'!$K$45=TRUE,$A107,$A107-('Additional Input'!$F$45-'Additional Input'!$N$9)),1),$F107*(1+$F$4),'Additional Input'!$D$45*IF('Additional Input'!$H$45=TRUE,(1+'Additional Input'!$D$13)^IF('Additional Input'!$K$45=TRUE,$A107,$A107-('Additional Input'!$F$45-'Additional Input'!$N$9)),1)),0)))+Adjustments!D107)</f>
        <v/>
      </c>
      <c r="R107" s="656" t="str">
        <f ca="1">IF(A107&gt;'Additional Input'!$E$11,"",-((N107+Q107)*'Additional Input'!$D$12)+Adjustments!E107)</f>
        <v/>
      </c>
      <c r="S107" s="656" t="str">
        <f ca="1">IF(A107&gt;'Additional Input'!$E$11,"",IF($A107&gt;='Additional Input'!$D$19,-'Additional Input'!$D$18*(1+IF('Additional Input'!$F$18=TRUE,'Additional Input'!$D$13,0))^Projections!A107,0)-TaxTables!D66+Adjustments!F107-VLOOKUP(A107,Gifts,6))</f>
        <v/>
      </c>
      <c r="T107" s="654" t="str">
        <f ca="1">IF(A107&gt;'Additional Input'!$E$11,"",N107+Q107+R107+S107)</f>
        <v/>
      </c>
    </row>
    <row r="108" spans="1:20">
      <c r="A108" s="122">
        <f t="shared" si="3"/>
        <v>36</v>
      </c>
      <c r="B108" s="110" t="str">
        <f ca="1">IF(A108&gt;'Additional Input'!$E$11,"",IF('Additional Input'!$N$9="","",'Additional Input'!$N$9+Projections!A108)&amp;"/"&amp;IF('Additional Input'!$O$9="","",IF('Additional Input'!$O$9=0,"",'Additional Input'!$O$9+Projections!A108)))</f>
        <v/>
      </c>
      <c r="C108" s="122" t="str">
        <f ca="1">IF(A108&gt;'Additional Input'!$E$11,"",+C107+1)</f>
        <v/>
      </c>
      <c r="D108" s="159" t="str">
        <f ca="1">IF(A108&gt;'Additional Input'!$E$11,"",($D107*(1+'Additional Input'!$F$26))+$N107+$Q107+$R107+$S107+VLOOKUP(A107,Gifts,6)-VLOOKUP(A108,Gifts,6))</f>
        <v/>
      </c>
      <c r="E108" s="159" t="str">
        <f ca="1">IF(A108&gt;'Additional Input'!$E$11,"",E107*(1+'Additional Input'!$F$28))</f>
        <v/>
      </c>
      <c r="F108" s="159" t="str">
        <f ca="1">IF(A108&gt;'Additional Input'!$E$11,"",($F107*(1+'Additional Input'!$F$27))-$Q107+IF(('Additional Input'!$K$40)&gt;A107,'Additional Input'!$D$40*(1+IF('Additional Input'!$H$40=TRUE,'Additional Input'!$D$13,0))^A107,0)+IF(('Additional Input'!$K$40)&gt;A107,'Additional Input'!$F$40*(1+IF('Additional Input'!$H$40=TRUE,'Additional Input'!$D$13,0))^A107,0))</f>
        <v/>
      </c>
      <c r="G108" s="646" t="str">
        <f ca="1">IF(A108&gt;'Additional Input'!$E$11,"",-VLOOKUP(A108*12,Amortization,2))</f>
        <v/>
      </c>
      <c r="H108" s="159" t="str">
        <f ca="1">IF(A108&gt;'Additional Input'!$E$11,"",IF(A108&lt;=Calculator!$F$7,Calculator!$D$7,0)+Calculator!$D$8-IF(A108&gt;3,Calculator!$H$8,0))</f>
        <v/>
      </c>
      <c r="I108" s="159" t="str">
        <f ca="1">IF(A108&gt;'Additional Input'!$E$11,"",D108+E108+F108+G108+H108)</f>
        <v/>
      </c>
      <c r="J108" s="646" t="str">
        <f ca="1">IF(A108&gt;'Additional Input'!$E$11,"",VLOOKUP(A108,Gifts,11))</f>
        <v/>
      </c>
      <c r="K108" s="159" t="str">
        <f ca="1">IF(A108&gt;'Additional Input'!$E$11,"",IF(A108&gt;3,Calculator!$H$8,0))</f>
        <v/>
      </c>
      <c r="L108" s="159" t="str">
        <f ca="1">IF(A108&gt;'Additional Input'!$E$11,"",J108+K108)</f>
        <v/>
      </c>
      <c r="M108" s="126" t="str">
        <f ca="1">IF(A108&gt;'Additional Input'!$E$11,"",(D108*'Additional Input'!$F$26)+(E108*'Additional Input'!$F$28)+(F108*'Additional Input'!$F$27))</f>
        <v/>
      </c>
      <c r="N108" s="126" t="str">
        <f ca="1">IF(A108&gt;'Additional Input'!$E$11,"",IF(('Additional Input'!$K$35)&gt;Projections!A108,'Additional Input'!$D$35*(1+IF('Additional Input'!$H$35=TRUE,'Additional Input'!$D$13,0))^Projections!A108,0)+IF(('Additional Input'!$K$36)&gt;Projections!A108,'Additional Input'!$D$36*(1+IF('Additional Input'!$H$36=TRUE,'Additional Input'!$D$13,0))^Projections!A108,0)-IF(('Additional Input'!$K$40)&gt;A108,'Additional Input'!$D$40*(1+IF('Additional Input'!$H$39=TRUE,'Additional Input'!$D$13,0))^A108,0)+IF(('Additional Input'!$F$37-'Additional Input'!$N$9)&lt;=Projections!A108,'Additional Input'!$D$37*(1+IF('Additional Input'!$H$37=TRUE,'Additional Input'!$D$13,0))^IF('Additional Input'!$K$37=TRUE,Projections!A108,Projections!A108-('Additional Input'!$F$37-'Additional Input'!$N$9)),0)+Adjustments!C108)</f>
        <v/>
      </c>
      <c r="O108" s="823" t="str">
        <f ca="1">IF(A108&gt;'Additional Input'!$E$11,"",IF(('Additional Input'!$N$9+Projections!$A108)&gt;=IF('Additional Input'!$K$44=TRUE,71,70),VLOOKUP(('Additional Input'!$N$9+Projections!$A108),UniformTable,2),0))</f>
        <v/>
      </c>
      <c r="P108" s="822" t="str">
        <f ca="1">IF(A108&gt;'Additional Input'!$E$11,"",IF($O108=0,0,$F108/$O108))</f>
        <v/>
      </c>
      <c r="Q108" s="178" t="str">
        <f ca="1">IF(A108&gt;'Additional Input'!$E$11,"",IF(IF('Additional Input'!$D$44=TRUE,IF($O108=0,0,$F108/$O108),IF('Additional Input'!$F$45-'Additional Input'!$N$9&lt;=Projections!$A108,IF($F108*(1+$F$4)&lt;'Additional Input'!$D$45*IF('Additional Input'!$H$45=TRUE,(1+'Additional Input'!$D$13)^IF('Additional Input'!$K$45=TRUE,$A108,$A108-('Additional Input'!$F$45-'Additional Input'!$N$9)),1),$F108*(1+$F$4),'Additional Input'!$D$45*IF('Additional Input'!$H$45=TRUE,(1+'Additional Input'!$D$13)^IF('Additional Input'!$K$45=TRUE,$A108,$A108-('Additional Input'!$F$45-'Additional Input'!$N$9)),1)),0))&lt;$P108,$P108,IF('Additional Input'!$D$44=TRUE,IF($O108=0,0,$F108/$O108),IF('Additional Input'!$F$45-'Additional Input'!$N$9&lt;=Projections!$A108,IF($F108*(1+$F$4)&lt;'Additional Input'!$D$45*IF('Additional Input'!$H$45=TRUE,(1+'Additional Input'!$D$13)^IF('Additional Input'!$K$45=TRUE,$A108,$A108-('Additional Input'!$F$45-'Additional Input'!$N$9)),1),$F108*(1+$F$4),'Additional Input'!$D$45*IF('Additional Input'!$H$45=TRUE,(1+'Additional Input'!$D$13)^IF('Additional Input'!$K$45=TRUE,$A108,$A108-('Additional Input'!$F$45-'Additional Input'!$N$9)),1)),0)))+Adjustments!D108)</f>
        <v/>
      </c>
      <c r="R108" s="571" t="str">
        <f ca="1">IF(A108&gt;'Additional Input'!$E$11,"",-((N108+Q108)*'Additional Input'!$D$12)+Adjustments!E108)</f>
        <v/>
      </c>
      <c r="S108" s="571" t="str">
        <f ca="1">IF(A108&gt;'Additional Input'!$E$11,"",IF($A108&gt;='Additional Input'!$D$19,-'Additional Input'!$D$18*(1+IF('Additional Input'!$F$18=TRUE,'Additional Input'!$D$13,0))^Projections!A108,0)-TaxTables!D67+Adjustments!F108-VLOOKUP(A108,Gifts,6))</f>
        <v/>
      </c>
      <c r="T108" s="126" t="str">
        <f ca="1">IF(A108&gt;'Additional Input'!$E$11,"",N108+Q108+R108+S108)</f>
        <v/>
      </c>
    </row>
    <row r="109" spans="1:20">
      <c r="A109" s="122">
        <f t="shared" si="3"/>
        <v>37</v>
      </c>
      <c r="B109" s="110" t="str">
        <f ca="1">IF(A109&gt;'Additional Input'!$E$11,"",IF('Additional Input'!$N$9="","",'Additional Input'!$N$9+Projections!A109)&amp;"/"&amp;IF('Additional Input'!$O$9="","",IF('Additional Input'!$O$9=0,"",'Additional Input'!$O$9+Projections!A109)))</f>
        <v/>
      </c>
      <c r="C109" s="122" t="str">
        <f ca="1">IF(A109&gt;'Additional Input'!$E$11,"",+C108+1)</f>
        <v/>
      </c>
      <c r="D109" s="159" t="str">
        <f ca="1">IF(A109&gt;'Additional Input'!$E$11,"",($D108*(1+'Additional Input'!$F$26))+$N108+$Q108+$R108+$S108+VLOOKUP(A108,Gifts,6)-VLOOKUP(A109,Gifts,6))</f>
        <v/>
      </c>
      <c r="E109" s="159" t="str">
        <f ca="1">IF(A109&gt;'Additional Input'!$E$11,"",E108*(1+'Additional Input'!$F$28))</f>
        <v/>
      </c>
      <c r="F109" s="159" t="str">
        <f ca="1">IF(A109&gt;'Additional Input'!$E$11,"",($F108*(1+'Additional Input'!$F$27))-$Q108+IF(('Additional Input'!$K$40)&gt;A108,'Additional Input'!$D$40*(1+IF('Additional Input'!$H$40=TRUE,'Additional Input'!$D$13,0))^A108,0)+IF(('Additional Input'!$K$40)&gt;A108,'Additional Input'!$F$40*(1+IF('Additional Input'!$H$40=TRUE,'Additional Input'!$D$13,0))^A108,0))</f>
        <v/>
      </c>
      <c r="G109" s="646" t="str">
        <f ca="1">IF(A109&gt;'Additional Input'!$E$11,"",-VLOOKUP(A109*12,Amortization,2))</f>
        <v/>
      </c>
      <c r="H109" s="159" t="str">
        <f ca="1">IF(A109&gt;'Additional Input'!$E$11,"",IF(A109&lt;=Calculator!$F$7,Calculator!$D$7,0)+Calculator!$D$8-IF(A109&gt;3,Calculator!$H$8,0))</f>
        <v/>
      </c>
      <c r="I109" s="159" t="str">
        <f ca="1">IF(A109&gt;'Additional Input'!$E$11,"",D109+E109+F109+G109+H109)</f>
        <v/>
      </c>
      <c r="J109" s="646" t="str">
        <f ca="1">IF(A109&gt;'Additional Input'!$E$11,"",VLOOKUP(A109,Gifts,11))</f>
        <v/>
      </c>
      <c r="K109" s="159" t="str">
        <f ca="1">IF(A109&gt;'Additional Input'!$E$11,"",IF(A109&gt;3,Calculator!$H$8,0))</f>
        <v/>
      </c>
      <c r="L109" s="159" t="str">
        <f ca="1">IF(A109&gt;'Additional Input'!$E$11,"",J109+K109)</f>
        <v/>
      </c>
      <c r="M109" s="126" t="str">
        <f ca="1">IF(A109&gt;'Additional Input'!$E$11,"",(D109*'Additional Input'!$F$26)+(E109*'Additional Input'!$F$28)+(F109*'Additional Input'!$F$27))</f>
        <v/>
      </c>
      <c r="N109" s="126" t="str">
        <f ca="1">IF(A109&gt;'Additional Input'!$E$11,"",IF(('Additional Input'!$K$35)&gt;Projections!A109,'Additional Input'!$D$35*(1+IF('Additional Input'!$H$35=TRUE,'Additional Input'!$D$13,0))^Projections!A109,0)+IF(('Additional Input'!$K$36)&gt;Projections!A109,'Additional Input'!$D$36*(1+IF('Additional Input'!$H$36=TRUE,'Additional Input'!$D$13,0))^Projections!A109,0)-IF(('Additional Input'!$K$40)&gt;A109,'Additional Input'!$D$40*(1+IF('Additional Input'!$H$39=TRUE,'Additional Input'!$D$13,0))^A109,0)+IF(('Additional Input'!$F$37-'Additional Input'!$N$9)&lt;=Projections!A109,'Additional Input'!$D$37*(1+IF('Additional Input'!$H$37=TRUE,'Additional Input'!$D$13,0))^IF('Additional Input'!$K$37=TRUE,Projections!A109,Projections!A109-('Additional Input'!$F$37-'Additional Input'!$N$9)),0)+Adjustments!C109)</f>
        <v/>
      </c>
      <c r="O109" s="823" t="str">
        <f ca="1">IF(A109&gt;'Additional Input'!$E$11,"",IF(('Additional Input'!$N$9+Projections!$A109)&gt;=IF('Additional Input'!$K$44=TRUE,71,70),VLOOKUP(('Additional Input'!$N$9+Projections!$A109),UniformTable,2),0))</f>
        <v/>
      </c>
      <c r="P109" s="822" t="str">
        <f ca="1">IF(A109&gt;'Additional Input'!$E$11,"",IF($O109=0,0,$F109/$O109))</f>
        <v/>
      </c>
      <c r="Q109" s="178" t="str">
        <f ca="1">IF(A109&gt;'Additional Input'!$E$11,"",IF(IF('Additional Input'!$D$44=TRUE,IF($O109=0,0,$F109/$O109),IF('Additional Input'!$F$45-'Additional Input'!$N$9&lt;=Projections!$A109,IF($F109*(1+$F$4)&lt;'Additional Input'!$D$45*IF('Additional Input'!$H$45=TRUE,(1+'Additional Input'!$D$13)^IF('Additional Input'!$K$45=TRUE,$A109,$A109-('Additional Input'!$F$45-'Additional Input'!$N$9)),1),$F109*(1+$F$4),'Additional Input'!$D$45*IF('Additional Input'!$H$45=TRUE,(1+'Additional Input'!$D$13)^IF('Additional Input'!$K$45=TRUE,$A109,$A109-('Additional Input'!$F$45-'Additional Input'!$N$9)),1)),0))&lt;$P109,$P109,IF('Additional Input'!$D$44=TRUE,IF($O109=0,0,$F109/$O109),IF('Additional Input'!$F$45-'Additional Input'!$N$9&lt;=Projections!$A109,IF($F109*(1+$F$4)&lt;'Additional Input'!$D$45*IF('Additional Input'!$H$45=TRUE,(1+'Additional Input'!$D$13)^IF('Additional Input'!$K$45=TRUE,$A109,$A109-('Additional Input'!$F$45-'Additional Input'!$N$9)),1),$F109*(1+$F$4),'Additional Input'!$D$45*IF('Additional Input'!$H$45=TRUE,(1+'Additional Input'!$D$13)^IF('Additional Input'!$K$45=TRUE,$A109,$A109-('Additional Input'!$F$45-'Additional Input'!$N$9)),1)),0)))+Adjustments!D109)</f>
        <v/>
      </c>
      <c r="R109" s="571" t="str">
        <f ca="1">IF(A109&gt;'Additional Input'!$E$11,"",-((N109+Q109)*'Additional Input'!$D$12)+Adjustments!E109)</f>
        <v/>
      </c>
      <c r="S109" s="571" t="str">
        <f ca="1">IF(A109&gt;'Additional Input'!$E$11,"",IF($A109&gt;='Additional Input'!$D$19,-'Additional Input'!$D$18*(1+IF('Additional Input'!$F$18=TRUE,'Additional Input'!$D$13,0))^Projections!A109,0)-TaxTables!D68+Adjustments!F109-VLOOKUP(A109,Gifts,6))</f>
        <v/>
      </c>
      <c r="T109" s="126" t="str">
        <f ca="1">IF(A109&gt;'Additional Input'!$E$11,"",N109+Q109+R109+S109)</f>
        <v/>
      </c>
    </row>
    <row r="110" spans="1:20">
      <c r="A110" s="122">
        <f t="shared" si="3"/>
        <v>38</v>
      </c>
      <c r="B110" s="110" t="str">
        <f ca="1">IF(A110&gt;'Additional Input'!$E$11,"",IF('Additional Input'!$N$9="","",'Additional Input'!$N$9+Projections!A110)&amp;"/"&amp;IF('Additional Input'!$O$9="","",IF('Additional Input'!$O$9=0,"",'Additional Input'!$O$9+Projections!A110)))</f>
        <v/>
      </c>
      <c r="C110" s="122" t="str">
        <f ca="1">IF(A110&gt;'Additional Input'!$E$11,"",+C109+1)</f>
        <v/>
      </c>
      <c r="D110" s="159" t="str">
        <f ca="1">IF(A110&gt;'Additional Input'!$E$11,"",($D109*(1+'Additional Input'!$F$26))+$N109+$Q109+$R109+$S109+VLOOKUP(A109,Gifts,6)-VLOOKUP(A110,Gifts,6))</f>
        <v/>
      </c>
      <c r="E110" s="159" t="str">
        <f ca="1">IF(A110&gt;'Additional Input'!$E$11,"",E109*(1+'Additional Input'!$F$28))</f>
        <v/>
      </c>
      <c r="F110" s="159" t="str">
        <f ca="1">IF(A110&gt;'Additional Input'!$E$11,"",($F109*(1+'Additional Input'!$F$27))-$Q109+IF(('Additional Input'!$K$40)&gt;A109,'Additional Input'!$D$40*(1+IF('Additional Input'!$H$40=TRUE,'Additional Input'!$D$13,0))^A109,0)+IF(('Additional Input'!$K$40)&gt;A109,'Additional Input'!$F$40*(1+IF('Additional Input'!$H$40=TRUE,'Additional Input'!$D$13,0))^A109,0))</f>
        <v/>
      </c>
      <c r="G110" s="646" t="str">
        <f ca="1">IF(A110&gt;'Additional Input'!$E$11,"",-VLOOKUP(A110*12,Amortization,2))</f>
        <v/>
      </c>
      <c r="H110" s="159" t="str">
        <f ca="1">IF(A110&gt;'Additional Input'!$E$11,"",IF(A110&lt;=Calculator!$F$7,Calculator!$D$7,0)+Calculator!$D$8-IF(A110&gt;3,Calculator!$H$8,0))</f>
        <v/>
      </c>
      <c r="I110" s="159" t="str">
        <f ca="1">IF(A110&gt;'Additional Input'!$E$11,"",D110+E110+F110+G110+H110)</f>
        <v/>
      </c>
      <c r="J110" s="646" t="str">
        <f ca="1">IF(A110&gt;'Additional Input'!$E$11,"",VLOOKUP(A110,Gifts,11))</f>
        <v/>
      </c>
      <c r="K110" s="159" t="str">
        <f ca="1">IF(A110&gt;'Additional Input'!$E$11,"",IF(A110&gt;3,Calculator!$H$8,0))</f>
        <v/>
      </c>
      <c r="L110" s="159" t="str">
        <f ca="1">IF(A110&gt;'Additional Input'!$E$11,"",J110+K110)</f>
        <v/>
      </c>
      <c r="M110" s="126" t="str">
        <f ca="1">IF(A110&gt;'Additional Input'!$E$11,"",(D110*'Additional Input'!$F$26)+(E110*'Additional Input'!$F$28)+(F110*'Additional Input'!$F$27))</f>
        <v/>
      </c>
      <c r="N110" s="126" t="str">
        <f ca="1">IF(A110&gt;'Additional Input'!$E$11,"",IF(('Additional Input'!$K$35)&gt;Projections!A110,'Additional Input'!$D$35*(1+IF('Additional Input'!$H$35=TRUE,'Additional Input'!$D$13,0))^Projections!A110,0)+IF(('Additional Input'!$K$36)&gt;Projections!A110,'Additional Input'!$D$36*(1+IF('Additional Input'!$H$36=TRUE,'Additional Input'!$D$13,0))^Projections!A110,0)-IF(('Additional Input'!$K$40)&gt;A110,'Additional Input'!$D$40*(1+IF('Additional Input'!$H$39=TRUE,'Additional Input'!$D$13,0))^A110,0)+IF(('Additional Input'!$F$37-'Additional Input'!$N$9)&lt;=Projections!A110,'Additional Input'!$D$37*(1+IF('Additional Input'!$H$37=TRUE,'Additional Input'!$D$13,0))^IF('Additional Input'!$K$37=TRUE,Projections!A110,Projections!A110-('Additional Input'!$F$37-'Additional Input'!$N$9)),0)+Adjustments!C110)</f>
        <v/>
      </c>
      <c r="O110" s="823" t="str">
        <f ca="1">IF(A110&gt;'Additional Input'!$E$11,"",IF(('Additional Input'!$N$9+Projections!$A110)&gt;=IF('Additional Input'!$K$44=TRUE,71,70),VLOOKUP(('Additional Input'!$N$9+Projections!$A110),UniformTable,2),0))</f>
        <v/>
      </c>
      <c r="P110" s="822" t="str">
        <f ca="1">IF(A110&gt;'Additional Input'!$E$11,"",IF($O110=0,0,$F110/$O110))</f>
        <v/>
      </c>
      <c r="Q110" s="178" t="str">
        <f ca="1">IF(A110&gt;'Additional Input'!$E$11,"",IF(IF('Additional Input'!$D$44=TRUE,IF($O110=0,0,$F110/$O110),IF('Additional Input'!$F$45-'Additional Input'!$N$9&lt;=Projections!$A110,IF($F110*(1+$F$4)&lt;'Additional Input'!$D$45*IF('Additional Input'!$H$45=TRUE,(1+'Additional Input'!$D$13)^IF('Additional Input'!$K$45=TRUE,$A110,$A110-('Additional Input'!$F$45-'Additional Input'!$N$9)),1),$F110*(1+$F$4),'Additional Input'!$D$45*IF('Additional Input'!$H$45=TRUE,(1+'Additional Input'!$D$13)^IF('Additional Input'!$K$45=TRUE,$A110,$A110-('Additional Input'!$F$45-'Additional Input'!$N$9)),1)),0))&lt;$P110,$P110,IF('Additional Input'!$D$44=TRUE,IF($O110=0,0,$F110/$O110),IF('Additional Input'!$F$45-'Additional Input'!$N$9&lt;=Projections!$A110,IF($F110*(1+$F$4)&lt;'Additional Input'!$D$45*IF('Additional Input'!$H$45=TRUE,(1+'Additional Input'!$D$13)^IF('Additional Input'!$K$45=TRUE,$A110,$A110-('Additional Input'!$F$45-'Additional Input'!$N$9)),1),$F110*(1+$F$4),'Additional Input'!$D$45*IF('Additional Input'!$H$45=TRUE,(1+'Additional Input'!$D$13)^IF('Additional Input'!$K$45=TRUE,$A110,$A110-('Additional Input'!$F$45-'Additional Input'!$N$9)),1)),0)))+Adjustments!D110)</f>
        <v/>
      </c>
      <c r="R110" s="571" t="str">
        <f ca="1">IF(A110&gt;'Additional Input'!$E$11,"",-((N110+Q110)*'Additional Input'!$D$12)+Adjustments!E110)</f>
        <v/>
      </c>
      <c r="S110" s="571" t="str">
        <f ca="1">IF(A110&gt;'Additional Input'!$E$11,"",IF($A110&gt;='Additional Input'!$D$19,-'Additional Input'!$D$18*(1+IF('Additional Input'!$F$18=TRUE,'Additional Input'!$D$13,0))^Projections!A110,0)-TaxTables!D69+Adjustments!F110-VLOOKUP(A110,Gifts,6))</f>
        <v/>
      </c>
      <c r="T110" s="126" t="str">
        <f ca="1">IF(A110&gt;'Additional Input'!$E$11,"",N110+Q110+R110+S110)</f>
        <v/>
      </c>
    </row>
    <row r="111" spans="1:20">
      <c r="A111" s="122">
        <f t="shared" si="3"/>
        <v>39</v>
      </c>
      <c r="B111" s="110" t="str">
        <f ca="1">IF(A111&gt;'Additional Input'!$E$11,"",IF('Additional Input'!$N$9="","",'Additional Input'!$N$9+Projections!A111)&amp;"/"&amp;IF('Additional Input'!$O$9="","",IF('Additional Input'!$O$9=0,"",'Additional Input'!$O$9+Projections!A111)))</f>
        <v/>
      </c>
      <c r="C111" s="122" t="str">
        <f ca="1">IF(A111&gt;'Additional Input'!$E$11,"",+C110+1)</f>
        <v/>
      </c>
      <c r="D111" s="159" t="str">
        <f ca="1">IF(A111&gt;'Additional Input'!$E$11,"",($D110*(1+'Additional Input'!$F$26))+$N110+$Q110+$R110+$S110+VLOOKUP(A110,Gifts,6)-VLOOKUP(A111,Gifts,6))</f>
        <v/>
      </c>
      <c r="E111" s="159" t="str">
        <f ca="1">IF(A111&gt;'Additional Input'!$E$11,"",E110*(1+'Additional Input'!$F$28))</f>
        <v/>
      </c>
      <c r="F111" s="159" t="str">
        <f ca="1">IF(A111&gt;'Additional Input'!$E$11,"",($F110*(1+'Additional Input'!$F$27))-$Q110+IF(('Additional Input'!$K$40)&gt;A110,'Additional Input'!$D$40*(1+IF('Additional Input'!$H$40=TRUE,'Additional Input'!$D$13,0))^A110,0)+IF(('Additional Input'!$K$40)&gt;A110,'Additional Input'!$F$40*(1+IF('Additional Input'!$H$40=TRUE,'Additional Input'!$D$13,0))^A110,0))</f>
        <v/>
      </c>
      <c r="G111" s="646" t="str">
        <f ca="1">IF(A111&gt;'Additional Input'!$E$11,"",-VLOOKUP(A111*12,Amortization,2))</f>
        <v/>
      </c>
      <c r="H111" s="159" t="str">
        <f ca="1">IF(A111&gt;'Additional Input'!$E$11,"",IF(A111&lt;=Calculator!$F$7,Calculator!$D$7,0)+Calculator!$D$8-IF(A111&gt;3,Calculator!$H$8,0))</f>
        <v/>
      </c>
      <c r="I111" s="159" t="str">
        <f ca="1">IF(A111&gt;'Additional Input'!$E$11,"",D111+E111+F111+G111+H111)</f>
        <v/>
      </c>
      <c r="J111" s="646" t="str">
        <f ca="1">IF(A111&gt;'Additional Input'!$E$11,"",VLOOKUP(A111,Gifts,11))</f>
        <v/>
      </c>
      <c r="K111" s="159" t="str">
        <f ca="1">IF(A111&gt;'Additional Input'!$E$11,"",IF(A111&gt;3,Calculator!$H$8,0))</f>
        <v/>
      </c>
      <c r="L111" s="159" t="str">
        <f ca="1">IF(A111&gt;'Additional Input'!$E$11,"",J111+K111)</f>
        <v/>
      </c>
      <c r="M111" s="126" t="str">
        <f ca="1">IF(A111&gt;'Additional Input'!$E$11,"",(D111*'Additional Input'!$F$26)+(E111*'Additional Input'!$F$28)+(F111*'Additional Input'!$F$27))</f>
        <v/>
      </c>
      <c r="N111" s="126" t="str">
        <f ca="1">IF(A111&gt;'Additional Input'!$E$11,"",IF(('Additional Input'!$K$35)&gt;Projections!A111,'Additional Input'!$D$35*(1+IF('Additional Input'!$H$35=TRUE,'Additional Input'!$D$13,0))^Projections!A111,0)+IF(('Additional Input'!$K$36)&gt;Projections!A111,'Additional Input'!$D$36*(1+IF('Additional Input'!$H$36=TRUE,'Additional Input'!$D$13,0))^Projections!A111,0)-IF(('Additional Input'!$K$40)&gt;A111,'Additional Input'!$D$40*(1+IF('Additional Input'!$H$39=TRUE,'Additional Input'!$D$13,0))^A111,0)+IF(('Additional Input'!$F$37-'Additional Input'!$N$9)&lt;=Projections!A111,'Additional Input'!$D$37*(1+IF('Additional Input'!$H$37=TRUE,'Additional Input'!$D$13,0))^IF('Additional Input'!$K$37=TRUE,Projections!A111,Projections!A111-('Additional Input'!$F$37-'Additional Input'!$N$9)),0)+Adjustments!C111)</f>
        <v/>
      </c>
      <c r="O111" s="823" t="str">
        <f ca="1">IF(A111&gt;'Additional Input'!$E$11,"",IF(('Additional Input'!$N$9+Projections!$A111)&gt;=IF('Additional Input'!$K$44=TRUE,71,70),VLOOKUP(('Additional Input'!$N$9+Projections!$A111),UniformTable,2),0))</f>
        <v/>
      </c>
      <c r="P111" s="822" t="str">
        <f ca="1">IF(A111&gt;'Additional Input'!$E$11,"",IF($O111=0,0,$F111/$O111))</f>
        <v/>
      </c>
      <c r="Q111" s="178" t="str">
        <f ca="1">IF(A111&gt;'Additional Input'!$E$11,"",IF(IF('Additional Input'!$D$44=TRUE,IF($O111=0,0,$F111/$O111),IF('Additional Input'!$F$45-'Additional Input'!$N$9&lt;=Projections!$A111,IF($F111*(1+$F$4)&lt;'Additional Input'!$D$45*IF('Additional Input'!$H$45=TRUE,(1+'Additional Input'!$D$13)^IF('Additional Input'!$K$45=TRUE,$A111,$A111-('Additional Input'!$F$45-'Additional Input'!$N$9)),1),$F111*(1+$F$4),'Additional Input'!$D$45*IF('Additional Input'!$H$45=TRUE,(1+'Additional Input'!$D$13)^IF('Additional Input'!$K$45=TRUE,$A111,$A111-('Additional Input'!$F$45-'Additional Input'!$N$9)),1)),0))&lt;$P111,$P111,IF('Additional Input'!$D$44=TRUE,IF($O111=0,0,$F111/$O111),IF('Additional Input'!$F$45-'Additional Input'!$N$9&lt;=Projections!$A111,IF($F111*(1+$F$4)&lt;'Additional Input'!$D$45*IF('Additional Input'!$H$45=TRUE,(1+'Additional Input'!$D$13)^IF('Additional Input'!$K$45=TRUE,$A111,$A111-('Additional Input'!$F$45-'Additional Input'!$N$9)),1),$F111*(1+$F$4),'Additional Input'!$D$45*IF('Additional Input'!$H$45=TRUE,(1+'Additional Input'!$D$13)^IF('Additional Input'!$K$45=TRUE,$A111,$A111-('Additional Input'!$F$45-'Additional Input'!$N$9)),1)),0)))+Adjustments!D111)</f>
        <v/>
      </c>
      <c r="R111" s="571" t="str">
        <f ca="1">IF(A111&gt;'Additional Input'!$E$11,"",-((N111+Q111)*'Additional Input'!$D$12)+Adjustments!E111)</f>
        <v/>
      </c>
      <c r="S111" s="571" t="str">
        <f ca="1">IF(A111&gt;'Additional Input'!$E$11,"",IF($A111&gt;='Additional Input'!$D$19,-'Additional Input'!$D$18*(1+IF('Additional Input'!$F$18=TRUE,'Additional Input'!$D$13,0))^Projections!A111,0)-TaxTables!D70+Adjustments!F111-VLOOKUP(A111,Gifts,6))</f>
        <v/>
      </c>
      <c r="T111" s="126" t="str">
        <f ca="1">IF(A111&gt;'Additional Input'!$E$11,"",N111+Q111+R111+S111)</f>
        <v/>
      </c>
    </row>
    <row r="112" spans="1:20">
      <c r="A112" s="650">
        <f t="shared" si="3"/>
        <v>40</v>
      </c>
      <c r="B112" s="651" t="str">
        <f ca="1">IF(A112&gt;'Additional Input'!$E$11,"",IF('Additional Input'!$N$9="","",'Additional Input'!$N$9+Projections!A112)&amp;"/"&amp;IF('Additional Input'!$O$9="","",IF('Additional Input'!$O$9=0,"",'Additional Input'!$O$9+Projections!A112)))</f>
        <v/>
      </c>
      <c r="C112" s="650" t="str">
        <f ca="1">IF(A112&gt;'Additional Input'!$E$11,"",+C111+1)</f>
        <v/>
      </c>
      <c r="D112" s="652" t="str">
        <f ca="1">IF(A112&gt;'Additional Input'!$E$11,"",($D111*(1+'Additional Input'!$F$26))+$N111+$Q111+$R111+$S111+VLOOKUP(A111,Gifts,6)-VLOOKUP(A112,Gifts,6))</f>
        <v/>
      </c>
      <c r="E112" s="653" t="str">
        <f ca="1">IF(A112&gt;'Additional Input'!$E$11,"",E111*(1+'Additional Input'!$F$28))</f>
        <v/>
      </c>
      <c r="F112" s="653" t="str">
        <f ca="1">IF(A112&gt;'Additional Input'!$E$11,"",($F111*(1+'Additional Input'!$F$27))-$Q111+IF(('Additional Input'!$K$40)&gt;A111,'Additional Input'!$D$40*(1+IF('Additional Input'!$H$40=TRUE,'Additional Input'!$D$13,0))^A111,0)+IF(('Additional Input'!$K$40)&gt;A111,'Additional Input'!$F$40*(1+IF('Additional Input'!$H$40=TRUE,'Additional Input'!$D$13,0))^A111,0))</f>
        <v/>
      </c>
      <c r="G112" s="853" t="str">
        <f ca="1">IF(A112&gt;'Additional Input'!$E$11,"",-VLOOKUP(A112*12,Amortization,2))</f>
        <v/>
      </c>
      <c r="H112" s="652" t="str">
        <f ca="1">IF(A112&gt;'Additional Input'!$E$11,"",IF(A112&lt;=Calculator!$F$7,Calculator!$D$7,0)+Calculator!$D$8-IF(A112&gt;3,Calculator!$H$8,0))</f>
        <v/>
      </c>
      <c r="I112" s="652" t="str">
        <f ca="1">IF(A112&gt;'Additional Input'!$E$11,"",D112+E112+F112+G112+H112)</f>
        <v/>
      </c>
      <c r="J112" s="720" t="str">
        <f ca="1">IF(A112&gt;'Additional Input'!$E$11,"",VLOOKUP(A112,Gifts,11))</f>
        <v/>
      </c>
      <c r="K112" s="721" t="str">
        <f ca="1">IF(A112&gt;'Additional Input'!$E$11,"",IF(A112&gt;3,Calculator!$H$8,0))</f>
        <v/>
      </c>
      <c r="L112" s="652" t="str">
        <f ca="1">IF(A112&gt;'Additional Input'!$E$11,"",J112+K112)</f>
        <v/>
      </c>
      <c r="M112" s="654" t="str">
        <f ca="1">IF(A112&gt;'Additional Input'!$E$11,"",(D112*'Additional Input'!$F$26)+(E112*'Additional Input'!$F$28)+(F112*'Additional Input'!$F$27))</f>
        <v/>
      </c>
      <c r="N112" s="654" t="str">
        <f ca="1">IF(A112&gt;'Additional Input'!$E$11,"",IF(('Additional Input'!$K$35)&gt;Projections!A112,'Additional Input'!$D$35*(1+IF('Additional Input'!$H$35=TRUE,'Additional Input'!$D$13,0))^Projections!A112,0)+IF(('Additional Input'!$K$36)&gt;Projections!A112,'Additional Input'!$D$36*(1+IF('Additional Input'!$H$36=TRUE,'Additional Input'!$D$13,0))^Projections!A112,0)-IF(('Additional Input'!$K$40)&gt;A112,'Additional Input'!$D$40*(1+IF('Additional Input'!$H$39=TRUE,'Additional Input'!$D$13,0))^A112,0)+IF(('Additional Input'!$F$37-'Additional Input'!$N$9)&lt;=Projections!A112,'Additional Input'!$D$37*(1+IF('Additional Input'!$H$37=TRUE,'Additional Input'!$D$13,0))^IF('Additional Input'!$K$37=TRUE,Projections!A112,Projections!A112-('Additional Input'!$F$37-'Additional Input'!$N$9)),0)+Adjustments!C112)</f>
        <v/>
      </c>
      <c r="O112" s="824" t="str">
        <f ca="1">IF(A112&gt;'Additional Input'!$E$11,"",IF(('Additional Input'!$N$9+Projections!$A112)&gt;=IF('Additional Input'!$K$44=TRUE,71,70),VLOOKUP(('Additional Input'!$N$9+Projections!$A112),UniformTable,2),0))</f>
        <v/>
      </c>
      <c r="P112" s="825" t="str">
        <f ca="1">IF(A112&gt;'Additional Input'!$E$11,"",IF($O112=0,0,$F112/$O112))</f>
        <v/>
      </c>
      <c r="Q112" s="654" t="str">
        <f ca="1">IF(A112&gt;'Additional Input'!$E$11,"",IF(IF('Additional Input'!$D$44=TRUE,IF($O112=0,0,$F112/$O112),IF('Additional Input'!$F$45-'Additional Input'!$N$9&lt;=Projections!$A112,IF($F112*(1+$F$4)&lt;'Additional Input'!$D$45*IF('Additional Input'!$H$45=TRUE,(1+'Additional Input'!$D$13)^IF('Additional Input'!$K$45=TRUE,$A112,$A112-('Additional Input'!$F$45-'Additional Input'!$N$9)),1),$F112*(1+$F$4),'Additional Input'!$D$45*IF('Additional Input'!$H$45=TRUE,(1+'Additional Input'!$D$13)^IF('Additional Input'!$K$45=TRUE,$A112,$A112-('Additional Input'!$F$45-'Additional Input'!$N$9)),1)),0))&lt;$P112,$P112,IF('Additional Input'!$D$44=TRUE,IF($O112=0,0,$F112/$O112),IF('Additional Input'!$F$45-'Additional Input'!$N$9&lt;=Projections!$A112,IF($F112*(1+$F$4)&lt;'Additional Input'!$D$45*IF('Additional Input'!$H$45=TRUE,(1+'Additional Input'!$D$13)^IF('Additional Input'!$K$45=TRUE,$A112,$A112-('Additional Input'!$F$45-'Additional Input'!$N$9)),1),$F112*(1+$F$4),'Additional Input'!$D$45*IF('Additional Input'!$H$45=TRUE,(1+'Additional Input'!$D$13)^IF('Additional Input'!$K$45=TRUE,$A112,$A112-('Additional Input'!$F$45-'Additional Input'!$N$9)),1)),0)))+Adjustments!D112)</f>
        <v/>
      </c>
      <c r="R112" s="656" t="str">
        <f ca="1">IF(A112&gt;'Additional Input'!$E$11,"",-((N112+Q112)*'Additional Input'!$D$12)+Adjustments!E112)</f>
        <v/>
      </c>
      <c r="S112" s="656" t="str">
        <f ca="1">IF(A112&gt;'Additional Input'!$E$11,"",IF($A112&gt;='Additional Input'!$D$19,-'Additional Input'!$D$18*(1+IF('Additional Input'!$F$18=TRUE,'Additional Input'!$D$13,0))^Projections!A112,0)-TaxTables!D71+Adjustments!F112-VLOOKUP(A112,Gifts,6))</f>
        <v/>
      </c>
      <c r="T112" s="654" t="str">
        <f ca="1">IF(A112&gt;'Additional Input'!$E$11,"",N112+Q112+R112+S112)</f>
        <v/>
      </c>
    </row>
    <row r="113" spans="1:20">
      <c r="A113" s="122">
        <f t="shared" si="3"/>
        <v>41</v>
      </c>
      <c r="B113" s="110" t="str">
        <f ca="1">IF(A113&gt;'Additional Input'!$E$11,"",IF('Additional Input'!$N$9="","",'Additional Input'!$N$9+Projections!A113)&amp;"/"&amp;IF('Additional Input'!$O$9="","",IF('Additional Input'!$O$9=0,"",'Additional Input'!$O$9+Projections!A113)))</f>
        <v/>
      </c>
      <c r="C113" s="122" t="str">
        <f ca="1">IF(A113&gt;'Additional Input'!$E$11,"",+C112+1)</f>
        <v/>
      </c>
      <c r="D113" s="159" t="str">
        <f ca="1">IF(A113&gt;'Additional Input'!$E$11,"",($D112*(1+'Additional Input'!$F$26))+$N112+$Q112+$R112+$S112+VLOOKUP(A112,Gifts,6)-VLOOKUP(A113,Gifts,6))</f>
        <v/>
      </c>
      <c r="E113" s="159" t="str">
        <f ca="1">IF(A113&gt;'Additional Input'!$E$11,"",E112*(1+'Additional Input'!$F$28))</f>
        <v/>
      </c>
      <c r="F113" s="159" t="str">
        <f ca="1">IF(A113&gt;'Additional Input'!$E$11,"",($F112*(1+'Additional Input'!$F$27))-$Q112+IF(('Additional Input'!$K$40)&gt;A112,'Additional Input'!$D$40*(1+IF('Additional Input'!$H$40=TRUE,'Additional Input'!$D$13,0))^A112,0)+IF(('Additional Input'!$K$40)&gt;A112,'Additional Input'!$F$40*(1+IF('Additional Input'!$H$40=TRUE,'Additional Input'!$D$13,0))^A112,0))</f>
        <v/>
      </c>
      <c r="G113" s="646" t="str">
        <f ca="1">IF(A113&gt;'Additional Input'!$E$11,"",-VLOOKUP(A113*12,Amortization,2))</f>
        <v/>
      </c>
      <c r="H113" s="159" t="str">
        <f ca="1">IF(A113&gt;'Additional Input'!$E$11,"",IF(A113&lt;=Calculator!$F$7,Calculator!$D$7,0)+Calculator!$D$8-IF(A113&gt;3,Calculator!$H$8,0))</f>
        <v/>
      </c>
      <c r="I113" s="159" t="str">
        <f ca="1">IF(A113&gt;'Additional Input'!$E$11,"",D113+E113+F113+G113+H113)</f>
        <v/>
      </c>
      <c r="J113" s="646" t="str">
        <f ca="1">IF(A113&gt;'Additional Input'!$E$11,"",VLOOKUP(A113,Gifts,11))</f>
        <v/>
      </c>
      <c r="K113" s="159" t="str">
        <f ca="1">IF(A113&gt;'Additional Input'!$E$11,"",IF(A113&gt;3,Calculator!$H$8,0))</f>
        <v/>
      </c>
      <c r="L113" s="159" t="str">
        <f ca="1">IF(A113&gt;'Additional Input'!$E$11,"",J113+K113)</f>
        <v/>
      </c>
      <c r="M113" s="126" t="str">
        <f ca="1">IF(A113&gt;'Additional Input'!$E$11,"",(D113*'Additional Input'!$F$26)+(E113*'Additional Input'!$F$28)+(F113*'Additional Input'!$F$27))</f>
        <v/>
      </c>
      <c r="N113" s="126" t="str">
        <f ca="1">IF(A113&gt;'Additional Input'!$E$11,"",IF(('Additional Input'!$K$35)&gt;Projections!A113,'Additional Input'!$D$35*(1+IF('Additional Input'!$H$35=TRUE,'Additional Input'!$D$13,0))^Projections!A113,0)+IF(('Additional Input'!$K$36)&gt;Projections!A113,'Additional Input'!$D$36*(1+IF('Additional Input'!$H$36=TRUE,'Additional Input'!$D$13,0))^Projections!A113,0)-IF(('Additional Input'!$K$40)&gt;A113,'Additional Input'!$D$40*(1+IF('Additional Input'!$H$39=TRUE,'Additional Input'!$D$13,0))^A113,0)+IF(('Additional Input'!$F$37-'Additional Input'!$N$9)&lt;=Projections!A113,'Additional Input'!$D$37*(1+IF('Additional Input'!$H$37=TRUE,'Additional Input'!$D$13,0))^IF('Additional Input'!$K$37=TRUE,Projections!A113,Projections!A113-('Additional Input'!$F$37-'Additional Input'!$N$9)),0)+Adjustments!C113)</f>
        <v/>
      </c>
      <c r="O113" s="823" t="str">
        <f ca="1">IF(A113&gt;'Additional Input'!$E$11,"",IF(('Additional Input'!$N$9+Projections!$A113)&gt;=IF('Additional Input'!$K$44=TRUE,71,70),VLOOKUP(('Additional Input'!$N$9+Projections!$A113),UniformTable,2),0))</f>
        <v/>
      </c>
      <c r="P113" s="822" t="str">
        <f ca="1">IF(A113&gt;'Additional Input'!$E$11,"",IF($O113=0,0,$F113/$O113))</f>
        <v/>
      </c>
      <c r="Q113" s="178" t="str">
        <f ca="1">IF(A113&gt;'Additional Input'!$E$11,"",IF(IF('Additional Input'!$D$44=TRUE,IF($O113=0,0,$F113/$O113),IF('Additional Input'!$F$45-'Additional Input'!$N$9&lt;=Projections!$A113,IF($F113*(1+$F$4)&lt;'Additional Input'!$D$45*IF('Additional Input'!$H$45=TRUE,(1+'Additional Input'!$D$13)^IF('Additional Input'!$K$45=TRUE,$A113,$A113-('Additional Input'!$F$45-'Additional Input'!$N$9)),1),$F113*(1+$F$4),'Additional Input'!$D$45*IF('Additional Input'!$H$45=TRUE,(1+'Additional Input'!$D$13)^IF('Additional Input'!$K$45=TRUE,$A113,$A113-('Additional Input'!$F$45-'Additional Input'!$N$9)),1)),0))&lt;$P113,$P113,IF('Additional Input'!$D$44=TRUE,IF($O113=0,0,$F113/$O113),IF('Additional Input'!$F$45-'Additional Input'!$N$9&lt;=Projections!$A113,IF($F113*(1+$F$4)&lt;'Additional Input'!$D$45*IF('Additional Input'!$H$45=TRUE,(1+'Additional Input'!$D$13)^IF('Additional Input'!$K$45=TRUE,$A113,$A113-('Additional Input'!$F$45-'Additional Input'!$N$9)),1),$F113*(1+$F$4),'Additional Input'!$D$45*IF('Additional Input'!$H$45=TRUE,(1+'Additional Input'!$D$13)^IF('Additional Input'!$K$45=TRUE,$A113,$A113-('Additional Input'!$F$45-'Additional Input'!$N$9)),1)),0)))+Adjustments!D113)</f>
        <v/>
      </c>
      <c r="R113" s="571" t="str">
        <f ca="1">IF(A113&gt;'Additional Input'!$E$11,"",-((N113+Q113)*'Additional Input'!$D$12)+Adjustments!E113)</f>
        <v/>
      </c>
      <c r="S113" s="571" t="str">
        <f ca="1">IF(A113&gt;'Additional Input'!$E$11,"",IF($A113&gt;='Additional Input'!$D$19,-'Additional Input'!$D$18*(1+IF('Additional Input'!$F$18=TRUE,'Additional Input'!$D$13,0))^Projections!A113,0)-TaxTables!D72+Adjustments!F113-VLOOKUP(A113,Gifts,6))</f>
        <v/>
      </c>
      <c r="T113" s="126" t="str">
        <f ca="1">IF(A113&gt;'Additional Input'!$E$11,"",N113+Q113+R113+S113)</f>
        <v/>
      </c>
    </row>
    <row r="114" spans="1:20">
      <c r="A114" s="122">
        <f t="shared" si="3"/>
        <v>42</v>
      </c>
      <c r="B114" s="110" t="str">
        <f ca="1">IF(A114&gt;'Additional Input'!$E$11,"",IF('Additional Input'!$N$9="","",'Additional Input'!$N$9+Projections!A114)&amp;"/"&amp;IF('Additional Input'!$O$9="","",IF('Additional Input'!$O$9=0,"",'Additional Input'!$O$9+Projections!A114)))</f>
        <v/>
      </c>
      <c r="C114" s="122" t="str">
        <f ca="1">IF(A114&gt;'Additional Input'!$E$11,"",+C113+1)</f>
        <v/>
      </c>
      <c r="D114" s="159" t="str">
        <f ca="1">IF(A114&gt;'Additional Input'!$E$11,"",($D113*(1+'Additional Input'!$F$26))+$N113+$Q113+$R113+$S113+VLOOKUP(A113,Gifts,6)-VLOOKUP(A114,Gifts,6))</f>
        <v/>
      </c>
      <c r="E114" s="159" t="str">
        <f ca="1">IF(A114&gt;'Additional Input'!$E$11,"",E113*(1+'Additional Input'!$F$28))</f>
        <v/>
      </c>
      <c r="F114" s="159" t="str">
        <f ca="1">IF(A114&gt;'Additional Input'!$E$11,"",($F113*(1+'Additional Input'!$F$27))-$Q113+IF(('Additional Input'!$K$40)&gt;A113,'Additional Input'!$D$40*(1+IF('Additional Input'!$H$40=TRUE,'Additional Input'!$D$13,0))^A113,0)+IF(('Additional Input'!$K$40)&gt;A113,'Additional Input'!$F$40*(1+IF('Additional Input'!$H$40=TRUE,'Additional Input'!$D$13,0))^A113,0))</f>
        <v/>
      </c>
      <c r="G114" s="646" t="str">
        <f ca="1">IF(A114&gt;'Additional Input'!$E$11,"",-VLOOKUP(A114*12,Amortization,2))</f>
        <v/>
      </c>
      <c r="H114" s="159" t="str">
        <f ca="1">IF(A114&gt;'Additional Input'!$E$11,"",IF(A114&lt;=Calculator!$F$7,Calculator!$D$7,0)+Calculator!$D$8-IF(A114&gt;3,Calculator!$H$8,0))</f>
        <v/>
      </c>
      <c r="I114" s="159" t="str">
        <f ca="1">IF(A114&gt;'Additional Input'!$E$11,"",D114+E114+F114+G114+H114)</f>
        <v/>
      </c>
      <c r="J114" s="646" t="str">
        <f ca="1">IF(A114&gt;'Additional Input'!$E$11,"",VLOOKUP(A114,Gifts,11))</f>
        <v/>
      </c>
      <c r="K114" s="159" t="str">
        <f ca="1">IF(A114&gt;'Additional Input'!$E$11,"",IF(A114&gt;3,Calculator!$H$8,0))</f>
        <v/>
      </c>
      <c r="L114" s="159" t="str">
        <f ca="1">IF(A114&gt;'Additional Input'!$E$11,"",J114+K114)</f>
        <v/>
      </c>
      <c r="M114" s="126" t="str">
        <f ca="1">IF(A114&gt;'Additional Input'!$E$11,"",(D114*'Additional Input'!$F$26)+(E114*'Additional Input'!$F$28)+(F114*'Additional Input'!$F$27))</f>
        <v/>
      </c>
      <c r="N114" s="126" t="str">
        <f ca="1">IF(A114&gt;'Additional Input'!$E$11,"",IF(('Additional Input'!$K$35)&gt;Projections!A114,'Additional Input'!$D$35*(1+IF('Additional Input'!$H$35=TRUE,'Additional Input'!$D$13,0))^Projections!A114,0)+IF(('Additional Input'!$K$36)&gt;Projections!A114,'Additional Input'!$D$36*(1+IF('Additional Input'!$H$36=TRUE,'Additional Input'!$D$13,0))^Projections!A114,0)-IF(('Additional Input'!$K$40)&gt;A114,'Additional Input'!$D$40*(1+IF('Additional Input'!$H$39=TRUE,'Additional Input'!$D$13,0))^A114,0)+IF(('Additional Input'!$F$37-'Additional Input'!$N$9)&lt;=Projections!A114,'Additional Input'!$D$37*(1+IF('Additional Input'!$H$37=TRUE,'Additional Input'!$D$13,0))^IF('Additional Input'!$K$37=TRUE,Projections!A114,Projections!A114-('Additional Input'!$F$37-'Additional Input'!$N$9)),0)+Adjustments!C114)</f>
        <v/>
      </c>
      <c r="O114" s="823" t="str">
        <f ca="1">IF(A114&gt;'Additional Input'!$E$11,"",IF(('Additional Input'!$N$9+Projections!$A114)&gt;=IF('Additional Input'!$K$44=TRUE,71,70),VLOOKUP(('Additional Input'!$N$9+Projections!$A114),UniformTable,2),0))</f>
        <v/>
      </c>
      <c r="P114" s="822" t="str">
        <f ca="1">IF(A114&gt;'Additional Input'!$E$11,"",IF($O114=0,0,$F114/$O114))</f>
        <v/>
      </c>
      <c r="Q114" s="178" t="str">
        <f ca="1">IF(A114&gt;'Additional Input'!$E$11,"",IF(IF('Additional Input'!$D$44=TRUE,IF($O114=0,0,$F114/$O114),IF('Additional Input'!$F$45-'Additional Input'!$N$9&lt;=Projections!$A114,IF($F114*(1+$F$4)&lt;'Additional Input'!$D$45*IF('Additional Input'!$H$45=TRUE,(1+'Additional Input'!$D$13)^IF('Additional Input'!$K$45=TRUE,$A114,$A114-('Additional Input'!$F$45-'Additional Input'!$N$9)),1),$F114*(1+$F$4),'Additional Input'!$D$45*IF('Additional Input'!$H$45=TRUE,(1+'Additional Input'!$D$13)^IF('Additional Input'!$K$45=TRUE,$A114,$A114-('Additional Input'!$F$45-'Additional Input'!$N$9)),1)),0))&lt;$P114,$P114,IF('Additional Input'!$D$44=TRUE,IF($O114=0,0,$F114/$O114),IF('Additional Input'!$F$45-'Additional Input'!$N$9&lt;=Projections!$A114,IF($F114*(1+$F$4)&lt;'Additional Input'!$D$45*IF('Additional Input'!$H$45=TRUE,(1+'Additional Input'!$D$13)^IF('Additional Input'!$K$45=TRUE,$A114,$A114-('Additional Input'!$F$45-'Additional Input'!$N$9)),1),$F114*(1+$F$4),'Additional Input'!$D$45*IF('Additional Input'!$H$45=TRUE,(1+'Additional Input'!$D$13)^IF('Additional Input'!$K$45=TRUE,$A114,$A114-('Additional Input'!$F$45-'Additional Input'!$N$9)),1)),0)))+Adjustments!D114)</f>
        <v/>
      </c>
      <c r="R114" s="571" t="str">
        <f ca="1">IF(A114&gt;'Additional Input'!$E$11,"",-((N114+Q114)*'Additional Input'!$D$12)+Adjustments!E114)</f>
        <v/>
      </c>
      <c r="S114" s="571" t="str">
        <f ca="1">IF(A114&gt;'Additional Input'!$E$11,"",IF($A114&gt;='Additional Input'!$D$19,-'Additional Input'!$D$18*(1+IF('Additional Input'!$F$18=TRUE,'Additional Input'!$D$13,0))^Projections!A114,0)-TaxTables!D73+Adjustments!F114-VLOOKUP(A114,Gifts,6))</f>
        <v/>
      </c>
      <c r="T114" s="126" t="str">
        <f ca="1">IF(A114&gt;'Additional Input'!$E$11,"",N114+Q114+R114+S114)</f>
        <v/>
      </c>
    </row>
    <row r="115" spans="1:20">
      <c r="A115" s="122">
        <f t="shared" si="3"/>
        <v>43</v>
      </c>
      <c r="B115" s="110" t="str">
        <f ca="1">IF(A115&gt;'Additional Input'!$E$11,"",IF('Additional Input'!$N$9="","",'Additional Input'!$N$9+Projections!A115)&amp;"/"&amp;IF('Additional Input'!$O$9="","",IF('Additional Input'!$O$9=0,"",'Additional Input'!$O$9+Projections!A115)))</f>
        <v/>
      </c>
      <c r="C115" s="122" t="str">
        <f ca="1">IF(A115&gt;'Additional Input'!$E$11,"",+C114+1)</f>
        <v/>
      </c>
      <c r="D115" s="159" t="str">
        <f ca="1">IF(A115&gt;'Additional Input'!$E$11,"",($D114*(1+'Additional Input'!$F$26))+$N114+$Q114+$R114+$S114+VLOOKUP(A114,Gifts,6)-VLOOKUP(A115,Gifts,6))</f>
        <v/>
      </c>
      <c r="E115" s="159" t="str">
        <f ca="1">IF(A115&gt;'Additional Input'!$E$11,"",E114*(1+'Additional Input'!$F$28))</f>
        <v/>
      </c>
      <c r="F115" s="159" t="str">
        <f ca="1">IF(A115&gt;'Additional Input'!$E$11,"",($F114*(1+'Additional Input'!$F$27))-$Q114+IF(('Additional Input'!$K$40)&gt;A114,'Additional Input'!$D$40*(1+IF('Additional Input'!$H$40=TRUE,'Additional Input'!$D$13,0))^A114,0)+IF(('Additional Input'!$K$40)&gt;A114,'Additional Input'!$F$40*(1+IF('Additional Input'!$H$40=TRUE,'Additional Input'!$D$13,0))^A114,0))</f>
        <v/>
      </c>
      <c r="G115" s="646" t="str">
        <f ca="1">IF(A115&gt;'Additional Input'!$E$11,"",-VLOOKUP(A115*12,Amortization,2))</f>
        <v/>
      </c>
      <c r="H115" s="159" t="str">
        <f ca="1">IF(A115&gt;'Additional Input'!$E$11,"",IF(A115&lt;=Calculator!$F$7,Calculator!$D$7,0)+Calculator!$D$8-IF(A115&gt;3,Calculator!$H$8,0))</f>
        <v/>
      </c>
      <c r="I115" s="159" t="str">
        <f ca="1">IF(A115&gt;'Additional Input'!$E$11,"",D115+E115+F115+G115+H115)</f>
        <v/>
      </c>
      <c r="J115" s="646" t="str">
        <f ca="1">IF(A115&gt;'Additional Input'!$E$11,"",VLOOKUP(A115,Gifts,11))</f>
        <v/>
      </c>
      <c r="K115" s="159" t="str">
        <f ca="1">IF(A115&gt;'Additional Input'!$E$11,"",IF(A115&gt;3,Calculator!$H$8,0))</f>
        <v/>
      </c>
      <c r="L115" s="159" t="str">
        <f ca="1">IF(A115&gt;'Additional Input'!$E$11,"",J115+K115)</f>
        <v/>
      </c>
      <c r="M115" s="126" t="str">
        <f ca="1">IF(A115&gt;'Additional Input'!$E$11,"",(D115*'Additional Input'!$F$26)+(E115*'Additional Input'!$F$28)+(F115*'Additional Input'!$F$27))</f>
        <v/>
      </c>
      <c r="N115" s="126" t="str">
        <f ca="1">IF(A115&gt;'Additional Input'!$E$11,"",IF(('Additional Input'!$K$35)&gt;Projections!A115,'Additional Input'!$D$35*(1+IF('Additional Input'!$H$35=TRUE,'Additional Input'!$D$13,0))^Projections!A115,0)+IF(('Additional Input'!$K$36)&gt;Projections!A115,'Additional Input'!$D$36*(1+IF('Additional Input'!$H$36=TRUE,'Additional Input'!$D$13,0))^Projections!A115,0)-IF(('Additional Input'!$K$40)&gt;A115,'Additional Input'!$D$40*(1+IF('Additional Input'!$H$39=TRUE,'Additional Input'!$D$13,0))^A115,0)+IF(('Additional Input'!$F$37-'Additional Input'!$N$9)&lt;=Projections!A115,'Additional Input'!$D$37*(1+IF('Additional Input'!$H$37=TRUE,'Additional Input'!$D$13,0))^IF('Additional Input'!$K$37=TRUE,Projections!A115,Projections!A115-('Additional Input'!$F$37-'Additional Input'!$N$9)),0)+Adjustments!C115)</f>
        <v/>
      </c>
      <c r="O115" s="823" t="str">
        <f ca="1">IF(A115&gt;'Additional Input'!$E$11,"",IF(('Additional Input'!$N$9+Projections!$A115)&gt;=IF('Additional Input'!$K$44=TRUE,71,70),VLOOKUP(('Additional Input'!$N$9+Projections!$A115),UniformTable,2),0))</f>
        <v/>
      </c>
      <c r="P115" s="822" t="str">
        <f ca="1">IF(A115&gt;'Additional Input'!$E$11,"",IF($O115=0,0,$F115/$O115))</f>
        <v/>
      </c>
      <c r="Q115" s="178" t="str">
        <f ca="1">IF(A115&gt;'Additional Input'!$E$11,"",IF(IF('Additional Input'!$D$44=TRUE,IF($O115=0,0,$F115/$O115),IF('Additional Input'!$F$45-'Additional Input'!$N$9&lt;=Projections!$A115,IF($F115*(1+$F$4)&lt;'Additional Input'!$D$45*IF('Additional Input'!$H$45=TRUE,(1+'Additional Input'!$D$13)^IF('Additional Input'!$K$45=TRUE,$A115,$A115-('Additional Input'!$F$45-'Additional Input'!$N$9)),1),$F115*(1+$F$4),'Additional Input'!$D$45*IF('Additional Input'!$H$45=TRUE,(1+'Additional Input'!$D$13)^IF('Additional Input'!$K$45=TRUE,$A115,$A115-('Additional Input'!$F$45-'Additional Input'!$N$9)),1)),0))&lt;$P115,$P115,IF('Additional Input'!$D$44=TRUE,IF($O115=0,0,$F115/$O115),IF('Additional Input'!$F$45-'Additional Input'!$N$9&lt;=Projections!$A115,IF($F115*(1+$F$4)&lt;'Additional Input'!$D$45*IF('Additional Input'!$H$45=TRUE,(1+'Additional Input'!$D$13)^IF('Additional Input'!$K$45=TRUE,$A115,$A115-('Additional Input'!$F$45-'Additional Input'!$N$9)),1),$F115*(1+$F$4),'Additional Input'!$D$45*IF('Additional Input'!$H$45=TRUE,(1+'Additional Input'!$D$13)^IF('Additional Input'!$K$45=TRUE,$A115,$A115-('Additional Input'!$F$45-'Additional Input'!$N$9)),1)),0)))+Adjustments!D115)</f>
        <v/>
      </c>
      <c r="R115" s="571" t="str">
        <f ca="1">IF(A115&gt;'Additional Input'!$E$11,"",-((N115+Q115)*'Additional Input'!$D$12)+Adjustments!E115)</f>
        <v/>
      </c>
      <c r="S115" s="571" t="str">
        <f ca="1">IF(A115&gt;'Additional Input'!$E$11,"",IF($A115&gt;='Additional Input'!$D$19,-'Additional Input'!$D$18*(1+IF('Additional Input'!$F$18=TRUE,'Additional Input'!$D$13,0))^Projections!A115,0)-TaxTables!D74+Adjustments!F115-VLOOKUP(A115,Gifts,6))</f>
        <v/>
      </c>
      <c r="T115" s="126" t="str">
        <f ca="1">IF(A115&gt;'Additional Input'!$E$11,"",N115+Q115+R115+S115)</f>
        <v/>
      </c>
    </row>
    <row r="116" spans="1:20">
      <c r="A116" s="122">
        <f t="shared" si="3"/>
        <v>44</v>
      </c>
      <c r="B116" s="110" t="str">
        <f ca="1">IF(A116&gt;'Additional Input'!$E$11,"",IF('Additional Input'!$N$9="","",'Additional Input'!$N$9+Projections!A116)&amp;"/"&amp;IF('Additional Input'!$O$9="","",IF('Additional Input'!$O$9=0,"",'Additional Input'!$O$9+Projections!A116)))</f>
        <v/>
      </c>
      <c r="C116" s="122" t="str">
        <f ca="1">IF(A116&gt;'Additional Input'!$E$11,"",+C115+1)</f>
        <v/>
      </c>
      <c r="D116" s="159" t="str">
        <f ca="1">IF(A116&gt;'Additional Input'!$E$11,"",($D115*(1+'Additional Input'!$F$26))+$N115+$Q115+$R115+$S115+VLOOKUP(A115,Gifts,6)-VLOOKUP(A116,Gifts,6))</f>
        <v/>
      </c>
      <c r="E116" s="159" t="str">
        <f ca="1">IF(A116&gt;'Additional Input'!$E$11,"",E115*(1+'Additional Input'!$F$28))</f>
        <v/>
      </c>
      <c r="F116" s="159" t="str">
        <f ca="1">IF(A116&gt;'Additional Input'!$E$11,"",($F115*(1+'Additional Input'!$F$27))-$Q115+IF(('Additional Input'!$K$40)&gt;A115,'Additional Input'!$D$40*(1+IF('Additional Input'!$H$40=TRUE,'Additional Input'!$D$13,0))^A115,0)+IF(('Additional Input'!$K$40)&gt;A115,'Additional Input'!$F$40*(1+IF('Additional Input'!$H$40=TRUE,'Additional Input'!$D$13,0))^A115,0))</f>
        <v/>
      </c>
      <c r="G116" s="646" t="str">
        <f ca="1">IF(A116&gt;'Additional Input'!$E$11,"",-VLOOKUP(A116*12,Amortization,2))</f>
        <v/>
      </c>
      <c r="H116" s="159" t="str">
        <f ca="1">IF(A116&gt;'Additional Input'!$E$11,"",IF(A116&lt;=Calculator!$F$7,Calculator!$D$7,0)+Calculator!$D$8-IF(A116&gt;3,Calculator!$H$8,0))</f>
        <v/>
      </c>
      <c r="I116" s="159" t="str">
        <f ca="1">IF(A116&gt;'Additional Input'!$E$11,"",D116+E116+F116+G116+H116)</f>
        <v/>
      </c>
      <c r="J116" s="646" t="str">
        <f ca="1">IF(A116&gt;'Additional Input'!$E$11,"",VLOOKUP(A116,Gifts,11))</f>
        <v/>
      </c>
      <c r="K116" s="159" t="str">
        <f ca="1">IF(A116&gt;'Additional Input'!$E$11,"",IF(A116&gt;3,Calculator!$H$8,0))</f>
        <v/>
      </c>
      <c r="L116" s="159" t="str">
        <f ca="1">IF(A116&gt;'Additional Input'!$E$11,"",J116+K116)</f>
        <v/>
      </c>
      <c r="M116" s="126" t="str">
        <f ca="1">IF(A116&gt;'Additional Input'!$E$11,"",(D116*'Additional Input'!$F$26)+(E116*'Additional Input'!$F$28)+(F116*'Additional Input'!$F$27))</f>
        <v/>
      </c>
      <c r="N116" s="126" t="str">
        <f ca="1">IF(A116&gt;'Additional Input'!$E$11,"",IF(('Additional Input'!$K$35)&gt;Projections!A116,'Additional Input'!$D$35*(1+IF('Additional Input'!$H$35=TRUE,'Additional Input'!$D$13,0))^Projections!A116,0)+IF(('Additional Input'!$K$36)&gt;Projections!A116,'Additional Input'!$D$36*(1+IF('Additional Input'!$H$36=TRUE,'Additional Input'!$D$13,0))^Projections!A116,0)-IF(('Additional Input'!$K$40)&gt;A116,'Additional Input'!$D$40*(1+IF('Additional Input'!$H$39=TRUE,'Additional Input'!$D$13,0))^A116,0)+IF(('Additional Input'!$F$37-'Additional Input'!$N$9)&lt;=Projections!A116,'Additional Input'!$D$37*(1+IF('Additional Input'!$H$37=TRUE,'Additional Input'!$D$13,0))^IF('Additional Input'!$K$37=TRUE,Projections!A116,Projections!A116-('Additional Input'!$F$37-'Additional Input'!$N$9)),0)+Adjustments!C116)</f>
        <v/>
      </c>
      <c r="O116" s="823" t="str">
        <f ca="1">IF(A116&gt;'Additional Input'!$E$11,"",IF(('Additional Input'!$N$9+Projections!$A116)&gt;=IF('Additional Input'!$K$44=TRUE,71,70),VLOOKUP(('Additional Input'!$N$9+Projections!$A116),UniformTable,2),0))</f>
        <v/>
      </c>
      <c r="P116" s="822" t="str">
        <f ca="1">IF(A116&gt;'Additional Input'!$E$11,"",IF($O116=0,0,$F116/$O116))</f>
        <v/>
      </c>
      <c r="Q116" s="178" t="str">
        <f ca="1">IF(A116&gt;'Additional Input'!$E$11,"",IF(IF('Additional Input'!$D$44=TRUE,IF($O116=0,0,$F116/$O116),IF('Additional Input'!$F$45-'Additional Input'!$N$9&lt;=Projections!$A116,IF($F116*(1+$F$4)&lt;'Additional Input'!$D$45*IF('Additional Input'!$H$45=TRUE,(1+'Additional Input'!$D$13)^IF('Additional Input'!$K$45=TRUE,$A116,$A116-('Additional Input'!$F$45-'Additional Input'!$N$9)),1),$F116*(1+$F$4),'Additional Input'!$D$45*IF('Additional Input'!$H$45=TRUE,(1+'Additional Input'!$D$13)^IF('Additional Input'!$K$45=TRUE,$A116,$A116-('Additional Input'!$F$45-'Additional Input'!$N$9)),1)),0))&lt;$P116,$P116,IF('Additional Input'!$D$44=TRUE,IF($O116=0,0,$F116/$O116),IF('Additional Input'!$F$45-'Additional Input'!$N$9&lt;=Projections!$A116,IF($F116*(1+$F$4)&lt;'Additional Input'!$D$45*IF('Additional Input'!$H$45=TRUE,(1+'Additional Input'!$D$13)^IF('Additional Input'!$K$45=TRUE,$A116,$A116-('Additional Input'!$F$45-'Additional Input'!$N$9)),1),$F116*(1+$F$4),'Additional Input'!$D$45*IF('Additional Input'!$H$45=TRUE,(1+'Additional Input'!$D$13)^IF('Additional Input'!$K$45=TRUE,$A116,$A116-('Additional Input'!$F$45-'Additional Input'!$N$9)),1)),0)))+Adjustments!D116)</f>
        <v/>
      </c>
      <c r="R116" s="571" t="str">
        <f ca="1">IF(A116&gt;'Additional Input'!$E$11,"",-((N116+Q116)*'Additional Input'!$D$12)+Adjustments!E116)</f>
        <v/>
      </c>
      <c r="S116" s="571" t="str">
        <f ca="1">IF(A116&gt;'Additional Input'!$E$11,"",IF($A116&gt;='Additional Input'!$D$19,-'Additional Input'!$D$18*(1+IF('Additional Input'!$F$18=TRUE,'Additional Input'!$D$13,0))^Projections!A116,0)-TaxTables!D75+Adjustments!F116-VLOOKUP(A116,Gifts,6))</f>
        <v/>
      </c>
      <c r="T116" s="126" t="str">
        <f ca="1">IF(A116&gt;'Additional Input'!$E$11,"",N116+Q116+R116+S116)</f>
        <v/>
      </c>
    </row>
    <row r="117" spans="1:20">
      <c r="A117" s="650">
        <f t="shared" si="3"/>
        <v>45</v>
      </c>
      <c r="B117" s="651" t="str">
        <f ca="1">IF(A117&gt;'Additional Input'!$E$11,"",IF('Additional Input'!$N$9="","",'Additional Input'!$N$9+Projections!A117)&amp;"/"&amp;IF('Additional Input'!$O$9="","",IF('Additional Input'!$O$9=0,"",'Additional Input'!$O$9+Projections!A117)))</f>
        <v/>
      </c>
      <c r="C117" s="650" t="str">
        <f ca="1">IF(A117&gt;'Additional Input'!$E$11,"",+C116+1)</f>
        <v/>
      </c>
      <c r="D117" s="652" t="str">
        <f ca="1">IF(A117&gt;'Additional Input'!$E$11,"",($D116*(1+'Additional Input'!$F$26))+$N116+$Q116+$R116+$S116+VLOOKUP(A116,Gifts,6)-VLOOKUP(A117,Gifts,6))</f>
        <v/>
      </c>
      <c r="E117" s="653" t="str">
        <f ca="1">IF(A117&gt;'Additional Input'!$E$11,"",E116*(1+'Additional Input'!$F$28))</f>
        <v/>
      </c>
      <c r="F117" s="653" t="str">
        <f ca="1">IF(A117&gt;'Additional Input'!$E$11,"",($F116*(1+'Additional Input'!$F$27))-$Q116+IF(('Additional Input'!$K$40)&gt;A116,'Additional Input'!$D$40*(1+IF('Additional Input'!$H$40=TRUE,'Additional Input'!$D$13,0))^A116,0)+IF(('Additional Input'!$K$40)&gt;A116,'Additional Input'!$F$40*(1+IF('Additional Input'!$H$40=TRUE,'Additional Input'!$D$13,0))^A116,0))</f>
        <v/>
      </c>
      <c r="G117" s="853" t="str">
        <f ca="1">IF(A117&gt;'Additional Input'!$E$11,"",-VLOOKUP(A117*12,Amortization,2))</f>
        <v/>
      </c>
      <c r="H117" s="652" t="str">
        <f ca="1">IF(A117&gt;'Additional Input'!$E$11,"",IF(A117&lt;=Calculator!$F$7,Calculator!$D$7,0)+Calculator!$D$8-IF(A117&gt;3,Calculator!$H$8,0))</f>
        <v/>
      </c>
      <c r="I117" s="652" t="str">
        <f ca="1">IF(A117&gt;'Additional Input'!$E$11,"",D117+E117+F117+G117+H117)</f>
        <v/>
      </c>
      <c r="J117" s="720" t="str">
        <f ca="1">IF(A117&gt;'Additional Input'!$E$11,"",VLOOKUP(A117,Gifts,11))</f>
        <v/>
      </c>
      <c r="K117" s="721" t="str">
        <f ca="1">IF(A117&gt;'Additional Input'!$E$11,"",IF(A117&gt;3,Calculator!$H$8,0))</f>
        <v/>
      </c>
      <c r="L117" s="652" t="str">
        <f ca="1">IF(A117&gt;'Additional Input'!$E$11,"",J117+K117)</f>
        <v/>
      </c>
      <c r="M117" s="654" t="str">
        <f ca="1">IF(A117&gt;'Additional Input'!$E$11,"",(D117*'Additional Input'!$F$26)+(E117*'Additional Input'!$F$28)+(F117*'Additional Input'!$F$27))</f>
        <v/>
      </c>
      <c r="N117" s="654" t="str">
        <f ca="1">IF(A117&gt;'Additional Input'!$E$11,"",IF(('Additional Input'!$K$35)&gt;Projections!A117,'Additional Input'!$D$35*(1+IF('Additional Input'!$H$35=TRUE,'Additional Input'!$D$13,0))^Projections!A117,0)+IF(('Additional Input'!$K$36)&gt;Projections!A117,'Additional Input'!$D$36*(1+IF('Additional Input'!$H$36=TRUE,'Additional Input'!$D$13,0))^Projections!A117,0)-IF(('Additional Input'!$K$40)&gt;A117,'Additional Input'!$D$40*(1+IF('Additional Input'!$H$39=TRUE,'Additional Input'!$D$13,0))^A117,0)+IF(('Additional Input'!$F$37-'Additional Input'!$N$9)&lt;=Projections!A117,'Additional Input'!$D$37*(1+IF('Additional Input'!$H$37=TRUE,'Additional Input'!$D$13,0))^IF('Additional Input'!$K$37=TRUE,Projections!A117,Projections!A117-('Additional Input'!$F$37-'Additional Input'!$N$9)),0)+Adjustments!C117)</f>
        <v/>
      </c>
      <c r="O117" s="824" t="str">
        <f ca="1">IF(A117&gt;'Additional Input'!$E$11,"",IF(('Additional Input'!$N$9+Projections!$A117)&gt;=IF('Additional Input'!$K$44=TRUE,71,70),VLOOKUP(('Additional Input'!$N$9+Projections!$A117),UniformTable,2),0))</f>
        <v/>
      </c>
      <c r="P117" s="825" t="str">
        <f ca="1">IF(A117&gt;'Additional Input'!$E$11,"",IF($O117=0,0,$F117/$O117))</f>
        <v/>
      </c>
      <c r="Q117" s="654" t="str">
        <f ca="1">IF(A117&gt;'Additional Input'!$E$11,"",IF(IF('Additional Input'!$D$44=TRUE,IF($O117=0,0,$F117/$O117),IF('Additional Input'!$F$45-'Additional Input'!$N$9&lt;=Projections!$A117,IF($F117*(1+$F$4)&lt;'Additional Input'!$D$45*IF('Additional Input'!$H$45=TRUE,(1+'Additional Input'!$D$13)^IF('Additional Input'!$K$45=TRUE,$A117,$A117-('Additional Input'!$F$45-'Additional Input'!$N$9)),1),$F117*(1+$F$4),'Additional Input'!$D$45*IF('Additional Input'!$H$45=TRUE,(1+'Additional Input'!$D$13)^IF('Additional Input'!$K$45=TRUE,$A117,$A117-('Additional Input'!$F$45-'Additional Input'!$N$9)),1)),0))&lt;$P117,$P117,IF('Additional Input'!$D$44=TRUE,IF($O117=0,0,$F117/$O117),IF('Additional Input'!$F$45-'Additional Input'!$N$9&lt;=Projections!$A117,IF($F117*(1+$F$4)&lt;'Additional Input'!$D$45*IF('Additional Input'!$H$45=TRUE,(1+'Additional Input'!$D$13)^IF('Additional Input'!$K$45=TRUE,$A117,$A117-('Additional Input'!$F$45-'Additional Input'!$N$9)),1),$F117*(1+$F$4),'Additional Input'!$D$45*IF('Additional Input'!$H$45=TRUE,(1+'Additional Input'!$D$13)^IF('Additional Input'!$K$45=TRUE,$A117,$A117-('Additional Input'!$F$45-'Additional Input'!$N$9)),1)),0)))+Adjustments!D117)</f>
        <v/>
      </c>
      <c r="R117" s="656" t="str">
        <f ca="1">IF(A117&gt;'Additional Input'!$E$11,"",-((N117+Q117)*'Additional Input'!$D$12)+Adjustments!E117)</f>
        <v/>
      </c>
      <c r="S117" s="656" t="str">
        <f ca="1">IF(A117&gt;'Additional Input'!$E$11,"",IF($A117&gt;='Additional Input'!$D$19,-'Additional Input'!$D$18*(1+IF('Additional Input'!$F$18=TRUE,'Additional Input'!$D$13,0))^Projections!A117,0)-TaxTables!D76+Adjustments!F117-VLOOKUP(A117,Gifts,6))</f>
        <v/>
      </c>
      <c r="T117" s="654" t="str">
        <f ca="1">IF(A117&gt;'Additional Input'!$E$11,"",N117+Q117+R117+S117)</f>
        <v/>
      </c>
    </row>
    <row r="118" spans="1:20" hidden="1">
      <c r="A118" s="122">
        <f t="shared" si="3"/>
        <v>46</v>
      </c>
      <c r="B118" s="110" t="str">
        <f ca="1">IF(A118&gt;'Additional Input'!$E$11,"",IF('Additional Input'!$N$9="","",'Additional Input'!$N$9+Projections!A118)&amp;"/"&amp;IF('Additional Input'!$O$9="","",IF('Additional Input'!$O$9=0,"",'Additional Input'!$O$9+Projections!A118)))</f>
        <v/>
      </c>
      <c r="C118" s="122" t="str">
        <f ca="1">IF(A118&gt;'Additional Input'!$E$11,"",+C117+1)</f>
        <v/>
      </c>
      <c r="D118" s="159" t="str">
        <f ca="1">IF(A118&gt;'Additional Input'!$E$11,"",($D117*(1+'Additional Input'!$F$26))+$N117+$Q117+$R117+$S117+VLOOKUP(A117,Gifts,6)-VLOOKUP(A118,Gifts,6))</f>
        <v/>
      </c>
      <c r="E118" s="159" t="str">
        <f ca="1">IF(A118&gt;'Additional Input'!$E$11,"",E117*(1+'Additional Input'!$F$28))</f>
        <v/>
      </c>
      <c r="F118" s="159" t="str">
        <f ca="1">IF(A118&gt;'Additional Input'!$E$11,"",($F117*(1+'Additional Input'!$F$27))-$Q117+IF(('Additional Input'!$K$40)&gt;A117,'Additional Input'!$D$40*(1+IF('Additional Input'!$H$40=TRUE,'Additional Input'!$D$13,0))^A117,0)+IF(('Additional Input'!$K$40)&gt;A117,'Additional Input'!$F$40*(1+IF('Additional Input'!$H$40=TRUE,'Additional Input'!$D$13,0))^A117,0))</f>
        <v/>
      </c>
      <c r="G118" s="646" t="str">
        <f ca="1">IF(A118&gt;'Additional Input'!$E$11,"",-VLOOKUP(A118*12,Amortization,2))</f>
        <v/>
      </c>
      <c r="H118" s="159" t="str">
        <f ca="1">IF(A118&gt;'Additional Input'!$E$11,"",IF(A118&lt;=Calculator!$F$7,Calculator!$D$7,0)+Calculator!$D$8-IF(A118&gt;3,Calculator!$H$8,0))</f>
        <v/>
      </c>
      <c r="I118" s="159" t="str">
        <f ca="1">IF(A118&gt;'Additional Input'!$E$11,"",D118+E118+F118+G118+H118)</f>
        <v/>
      </c>
      <c r="J118" s="646" t="str">
        <f ca="1">IF(A118&gt;'Additional Input'!$E$11,"",VLOOKUP(A118,Gifts,11))</f>
        <v/>
      </c>
      <c r="K118" s="159" t="str">
        <f ca="1">IF(A118&gt;'Additional Input'!$E$11,"",IF(A118&gt;3,Calculator!$H$8,0))</f>
        <v/>
      </c>
      <c r="L118" s="159" t="str">
        <f ca="1">IF(A118&gt;'Additional Input'!$E$11,"",J118+K118)</f>
        <v/>
      </c>
      <c r="M118" s="126" t="str">
        <f ca="1">IF(A118&gt;'Additional Input'!$E$11,"",(D118*'Additional Input'!$F$26)+(E118*'Additional Input'!$F$28)+(F118*'Additional Input'!$F$27))</f>
        <v/>
      </c>
      <c r="N118" s="126" t="str">
        <f ca="1">IF(A118&gt;'Additional Input'!$E$11,"",IF(('Additional Input'!$K$35)&gt;Projections!A118,'Additional Input'!$D$35*(1+IF('Additional Input'!$H$35=TRUE,'Additional Input'!$D$13,0))^Projections!A118,0)+IF(('Additional Input'!$K$36)&gt;Projections!A118,'Additional Input'!$D$36*(1+IF('Additional Input'!$H$36=TRUE,'Additional Input'!$D$13,0))^Projections!A118,0)-IF(('Additional Input'!$K$40)&gt;A118,'Additional Input'!$D$40*(1+IF('Additional Input'!$H$39=TRUE,'Additional Input'!$D$13,0))^A118,0)+IF(('Additional Input'!$F$37-'Additional Input'!$N$9)&lt;=Projections!A118,'Additional Input'!$D$37*(1+IF('Additional Input'!$H$37=TRUE,'Additional Input'!$D$13,0))^IF('Additional Input'!$K$37=TRUE,Projections!A118,Projections!A118-('Additional Input'!$F$37-'Additional Input'!$N$9)),0)+Adjustments!C118)</f>
        <v/>
      </c>
      <c r="O118" s="823" t="str">
        <f ca="1">IF(A118&gt;'Additional Input'!$E$11,"",IF(('Additional Input'!$N$9+Projections!$A118)&gt;=IF('Additional Input'!$K$44=TRUE,71,70),VLOOKUP(('Additional Input'!$N$9+Projections!$A118),UniformTable,2),0))</f>
        <v/>
      </c>
      <c r="P118" s="822" t="str">
        <f ca="1">IF(A118&gt;'Additional Input'!$E$11,"",IF($O118=0,0,$F118/$O118))</f>
        <v/>
      </c>
      <c r="Q118" s="178" t="str">
        <f ca="1">IF(A118&gt;'Additional Input'!$E$11,"",IF(IF('Additional Input'!$D$44=TRUE,IF($O118=0,0,$F118/$O118),IF('Additional Input'!$F$45-'Additional Input'!$N$9&lt;=Projections!$A118,IF($F118*(1+$F$4)&lt;'Additional Input'!$D$45*IF('Additional Input'!$H$45=TRUE,(1+'Additional Input'!$D$13)^IF('Additional Input'!$K$45=TRUE,$A118,$A118-('Additional Input'!$F$45-'Additional Input'!$N$9)),1),$F118*(1+$F$4),'Additional Input'!$D$45*IF('Additional Input'!$H$45=TRUE,(1+'Additional Input'!$D$13)^IF('Additional Input'!$K$45=TRUE,$A118,$A118-('Additional Input'!$F$45-'Additional Input'!$N$9)),1)),0))&lt;$P118,$P118,IF('Additional Input'!$D$44=TRUE,IF($O118=0,0,$F118/$O118),IF('Additional Input'!$F$45-'Additional Input'!$N$9&lt;=Projections!$A118,IF($F118*(1+$F$4)&lt;'Additional Input'!$D$45*IF('Additional Input'!$H$45=TRUE,(1+'Additional Input'!$D$13)^IF('Additional Input'!$K$45=TRUE,$A118,$A118-('Additional Input'!$F$45-'Additional Input'!$N$9)),1),$F118*(1+$F$4),'Additional Input'!$D$45*IF('Additional Input'!$H$45=TRUE,(1+'Additional Input'!$D$13)^IF('Additional Input'!$K$45=TRUE,$A118,$A118-('Additional Input'!$F$45-'Additional Input'!$N$9)),1)),0)))+Adjustments!D118)</f>
        <v/>
      </c>
      <c r="R118" s="571" t="str">
        <f ca="1">IF(A118&gt;'Additional Input'!$E$11,"",-((N118+Q118)*'Additional Input'!$D$12)+Adjustments!E118)</f>
        <v/>
      </c>
      <c r="S118" s="571" t="str">
        <f ca="1">IF(A118&gt;'Additional Input'!$E$11,"",IF($A118&gt;='Additional Input'!$D$19,-'Additional Input'!$D$18*(1+IF('Additional Input'!$F$18=TRUE,'Additional Input'!$D$13,0))^Projections!A118,0)-TaxTables!D77+Adjustments!F118-VLOOKUP(A118,Gifts,6))</f>
        <v/>
      </c>
      <c r="T118" s="126" t="str">
        <f ca="1">IF(A118&gt;'Additional Input'!$E$11,"",N118+Q118+R118+S118)</f>
        <v/>
      </c>
    </row>
    <row r="119" spans="1:20" hidden="1">
      <c r="A119" s="122">
        <f t="shared" si="3"/>
        <v>47</v>
      </c>
      <c r="B119" s="110" t="str">
        <f ca="1">IF(A119&gt;'Additional Input'!$E$11,"",IF('Additional Input'!$N$9="","",'Additional Input'!$N$9+Projections!A119)&amp;"/"&amp;IF('Additional Input'!$O$9="","",IF('Additional Input'!$O$9=0,"",'Additional Input'!$O$9+Projections!A119)))</f>
        <v/>
      </c>
      <c r="C119" s="122" t="str">
        <f ca="1">IF(A119&gt;'Additional Input'!$E$11,"",+C118+1)</f>
        <v/>
      </c>
      <c r="D119" s="159" t="str">
        <f ca="1">IF(A119&gt;'Additional Input'!$E$11,"",($D118*(1+'Additional Input'!$F$26))+$N118+$Q118+$R118+$S118+VLOOKUP(A118,Gifts,6)-VLOOKUP(A119,Gifts,6))</f>
        <v/>
      </c>
      <c r="E119" s="159" t="str">
        <f ca="1">IF(A119&gt;'Additional Input'!$E$11,"",E118*(1+'Additional Input'!$F$28))</f>
        <v/>
      </c>
      <c r="F119" s="159" t="str">
        <f ca="1">IF(A119&gt;'Additional Input'!$E$11,"",($F118*(1+'Additional Input'!$F$27))-$Q118+IF(('Additional Input'!$K$40)&gt;A118,'Additional Input'!$D$40*(1+IF('Additional Input'!$H$40=TRUE,'Additional Input'!$D$13,0))^A118,0)+IF(('Additional Input'!$K$40)&gt;A118,'Additional Input'!$F$40*(1+IF('Additional Input'!$H$40=TRUE,'Additional Input'!$D$13,0))^A118,0))</f>
        <v/>
      </c>
      <c r="G119" s="646" t="str">
        <f ca="1">IF(A119&gt;'Additional Input'!$E$11,"",-VLOOKUP(A119*12,Amortization,2))</f>
        <v/>
      </c>
      <c r="H119" s="159" t="str">
        <f ca="1">IF(A119&gt;'Additional Input'!$E$11,"",IF(A119&lt;=Calculator!$F$7,Calculator!$D$7,0)+Calculator!$D$8-IF(A119&gt;3,Calculator!$H$8,0))</f>
        <v/>
      </c>
      <c r="I119" s="159" t="str">
        <f ca="1">IF(A119&gt;'Additional Input'!$E$11,"",D119+E119+F119+G119+H119)</f>
        <v/>
      </c>
      <c r="J119" s="646" t="str">
        <f ca="1">IF(A119&gt;'Additional Input'!$E$11,"",VLOOKUP(A119,Gifts,11))</f>
        <v/>
      </c>
      <c r="K119" s="159" t="str">
        <f ca="1">IF(A119&gt;'Additional Input'!$E$11,"",IF(A119&gt;3,Calculator!$H$8,0))</f>
        <v/>
      </c>
      <c r="L119" s="159" t="str">
        <f ca="1">IF(A119&gt;'Additional Input'!$E$11,"",J119+K119)</f>
        <v/>
      </c>
      <c r="M119" s="126" t="str">
        <f ca="1">IF(A119&gt;'Additional Input'!$E$11,"",(D119*'Additional Input'!$F$26)+(E119*'Additional Input'!$F$28)+(F119*'Additional Input'!$F$27))</f>
        <v/>
      </c>
      <c r="N119" s="126" t="str">
        <f ca="1">IF(A119&gt;'Additional Input'!$E$11,"",IF(('Additional Input'!$K$35)&gt;Projections!A119,'Additional Input'!$D$35*(1+IF('Additional Input'!$H$35=TRUE,'Additional Input'!$D$13,0))^Projections!A119,0)+IF(('Additional Input'!$K$36)&gt;Projections!A119,'Additional Input'!$D$36*(1+IF('Additional Input'!$H$36=TRUE,'Additional Input'!$D$13,0))^Projections!A119,0)-IF(('Additional Input'!$K$40)&gt;A119,'Additional Input'!$D$40*(1+IF('Additional Input'!$H$39=TRUE,'Additional Input'!$D$13,0))^A119,0)+IF(('Additional Input'!$F$37-'Additional Input'!$N$9)&lt;=Projections!A119,'Additional Input'!$D$37*(1+IF('Additional Input'!$H$37=TRUE,'Additional Input'!$D$13,0))^IF('Additional Input'!$K$37=TRUE,Projections!A119,Projections!A119-('Additional Input'!$F$37-'Additional Input'!$N$9)),0)+Adjustments!C119)</f>
        <v/>
      </c>
      <c r="O119" s="823" t="str">
        <f ca="1">IF(A119&gt;'Additional Input'!$E$11,"",IF(('Additional Input'!$N$9+Projections!$A119)&gt;=IF('Additional Input'!$K$44=TRUE,71,70),VLOOKUP(('Additional Input'!$N$9+Projections!$A119),UniformTable,2),0))</f>
        <v/>
      </c>
      <c r="P119" s="822" t="str">
        <f ca="1">IF(A119&gt;'Additional Input'!$E$11,"",IF($O119=0,0,$F119/$O119))</f>
        <v/>
      </c>
      <c r="Q119" s="178" t="str">
        <f ca="1">IF(A119&gt;'Additional Input'!$E$11,"",IF(IF('Additional Input'!$D$44=TRUE,IF($O119=0,0,$F119/$O119),IF('Additional Input'!$F$45-'Additional Input'!$N$9&lt;=Projections!$A119,IF($F119*(1+$F$4)&lt;'Additional Input'!$D$45*IF('Additional Input'!$H$45=TRUE,(1+'Additional Input'!$D$13)^IF('Additional Input'!$K$45=TRUE,$A119,$A119-('Additional Input'!$F$45-'Additional Input'!$N$9)),1),$F119*(1+$F$4),'Additional Input'!$D$45*IF('Additional Input'!$H$45=TRUE,(1+'Additional Input'!$D$13)^IF('Additional Input'!$K$45=TRUE,$A119,$A119-('Additional Input'!$F$45-'Additional Input'!$N$9)),1)),0))&lt;$P119,$P119,IF('Additional Input'!$D$44=TRUE,IF($O119=0,0,$F119/$O119),IF('Additional Input'!$F$45-'Additional Input'!$N$9&lt;=Projections!$A119,IF($F119*(1+$F$4)&lt;'Additional Input'!$D$45*IF('Additional Input'!$H$45=TRUE,(1+'Additional Input'!$D$13)^IF('Additional Input'!$K$45=TRUE,$A119,$A119-('Additional Input'!$F$45-'Additional Input'!$N$9)),1),$F119*(1+$F$4),'Additional Input'!$D$45*IF('Additional Input'!$H$45=TRUE,(1+'Additional Input'!$D$13)^IF('Additional Input'!$K$45=TRUE,$A119,$A119-('Additional Input'!$F$45-'Additional Input'!$N$9)),1)),0)))+Adjustments!D119)</f>
        <v/>
      </c>
      <c r="R119" s="571" t="str">
        <f ca="1">IF(A119&gt;'Additional Input'!$E$11,"",-((N119+Q119)*'Additional Input'!$D$12)+Adjustments!E119)</f>
        <v/>
      </c>
      <c r="S119" s="571" t="str">
        <f ca="1">IF(A119&gt;'Additional Input'!$E$11,"",IF($A119&gt;='Additional Input'!$D$19,-'Additional Input'!$D$18*(1+IF('Additional Input'!$F$18=TRUE,'Additional Input'!$D$13,0))^Projections!A119,0)-TaxTables!D78+Adjustments!F119-VLOOKUP(A119,Gifts,6))</f>
        <v/>
      </c>
      <c r="T119" s="126" t="str">
        <f ca="1">IF(A119&gt;'Additional Input'!$E$11,"",N119+Q119+R119+S119)</f>
        <v/>
      </c>
    </row>
    <row r="120" spans="1:20" hidden="1">
      <c r="A120" s="122">
        <f t="shared" si="3"/>
        <v>48</v>
      </c>
      <c r="B120" s="110" t="str">
        <f ca="1">IF(A120&gt;'Additional Input'!$E$11,"",IF('Additional Input'!$N$9="","",'Additional Input'!$N$9+Projections!A120)&amp;"/"&amp;IF('Additional Input'!$O$9="","",IF('Additional Input'!$O$9=0,"",'Additional Input'!$O$9+Projections!A120)))</f>
        <v/>
      </c>
      <c r="C120" s="122" t="str">
        <f ca="1">IF(A120&gt;'Additional Input'!$E$11,"",+C119+1)</f>
        <v/>
      </c>
      <c r="D120" s="159" t="str">
        <f ca="1">IF(A120&gt;'Additional Input'!$E$11,"",($D119*(1+'Additional Input'!$F$26))+$N119+$Q119+$R119+$S119+VLOOKUP(A119,Gifts,6)-VLOOKUP(A120,Gifts,6))</f>
        <v/>
      </c>
      <c r="E120" s="159" t="str">
        <f ca="1">IF(A120&gt;'Additional Input'!$E$11,"",E119*(1+'Additional Input'!$F$28))</f>
        <v/>
      </c>
      <c r="F120" s="159" t="str">
        <f ca="1">IF(A120&gt;'Additional Input'!$E$11,"",($F119*(1+'Additional Input'!$F$27))-$Q119+IF(('Additional Input'!$K$40)&gt;A119,'Additional Input'!$D$40*(1+IF('Additional Input'!$H$40=TRUE,'Additional Input'!$D$13,0))^A119,0)+IF(('Additional Input'!$K$40)&gt;A119,'Additional Input'!$F$40*(1+IF('Additional Input'!$H$40=TRUE,'Additional Input'!$D$13,0))^A119,0))</f>
        <v/>
      </c>
      <c r="G120" s="646" t="str">
        <f ca="1">IF(A120&gt;'Additional Input'!$E$11,"",-VLOOKUP(A120*12,Amortization,2))</f>
        <v/>
      </c>
      <c r="H120" s="159" t="str">
        <f ca="1">IF(A120&gt;'Additional Input'!$E$11,"",IF(A120&lt;=Calculator!$F$7,Calculator!$D$7,0)+Calculator!$D$8-IF(A120&gt;3,Calculator!$H$8,0))</f>
        <v/>
      </c>
      <c r="I120" s="159" t="str">
        <f ca="1">IF(A120&gt;'Additional Input'!$E$11,"",D120+E120+F120+G120+H120)</f>
        <v/>
      </c>
      <c r="J120" s="646" t="str">
        <f ca="1">IF(A120&gt;'Additional Input'!$E$11,"",VLOOKUP(A120,Gifts,11))</f>
        <v/>
      </c>
      <c r="K120" s="159" t="str">
        <f ca="1">IF(A120&gt;'Additional Input'!$E$11,"",IF(A120&gt;3,Calculator!$H$8,0))</f>
        <v/>
      </c>
      <c r="L120" s="159" t="str">
        <f ca="1">IF(A120&gt;'Additional Input'!$E$11,"",J120+K120)</f>
        <v/>
      </c>
      <c r="M120" s="126" t="str">
        <f ca="1">IF(A120&gt;'Additional Input'!$E$11,"",(D120*'Additional Input'!$F$26)+(E120*'Additional Input'!$F$28)+(F120*'Additional Input'!$F$27))</f>
        <v/>
      </c>
      <c r="N120" s="126" t="str">
        <f ca="1">IF(A120&gt;'Additional Input'!$E$11,"",IF(('Additional Input'!$K$35)&gt;Projections!A120,'Additional Input'!$D$35*(1+IF('Additional Input'!$H$35=TRUE,'Additional Input'!$D$13,0))^Projections!A120,0)+IF(('Additional Input'!$K$36)&gt;Projections!A120,'Additional Input'!$D$36*(1+IF('Additional Input'!$H$36=TRUE,'Additional Input'!$D$13,0))^Projections!A120,0)-IF(('Additional Input'!$K$40)&gt;A120,'Additional Input'!$D$40*(1+IF('Additional Input'!$H$39=TRUE,'Additional Input'!$D$13,0))^A120,0)+IF(('Additional Input'!$F$37-'Additional Input'!$N$9)&lt;=Projections!A120,'Additional Input'!$D$37*(1+IF('Additional Input'!$H$37=TRUE,'Additional Input'!$D$13,0))^IF('Additional Input'!$K$37=TRUE,Projections!A120,Projections!A120-('Additional Input'!$F$37-'Additional Input'!$N$9)),0)+Adjustments!C120)</f>
        <v/>
      </c>
      <c r="O120" s="823" t="str">
        <f ca="1">IF(A120&gt;'Additional Input'!$E$11,"",IF(('Additional Input'!$N$9+Projections!$A120)&gt;=IF('Additional Input'!$K$44=TRUE,71,70),VLOOKUP(('Additional Input'!$N$9+Projections!$A120),UniformTable,2),0))</f>
        <v/>
      </c>
      <c r="P120" s="822" t="str">
        <f ca="1">IF(A120&gt;'Additional Input'!$E$11,"",IF($O120=0,0,$F120/$O120))</f>
        <v/>
      </c>
      <c r="Q120" s="178" t="str">
        <f ca="1">IF(A120&gt;'Additional Input'!$E$11,"",IF(IF('Additional Input'!$D$44=TRUE,IF($O120=0,0,$F120/$O120),IF('Additional Input'!$F$45-'Additional Input'!$N$9&lt;=Projections!$A120,IF($F120*(1+$F$4)&lt;'Additional Input'!$D$45*IF('Additional Input'!$H$45=TRUE,(1+'Additional Input'!$D$13)^IF('Additional Input'!$K$45=TRUE,$A120,$A120-('Additional Input'!$F$45-'Additional Input'!$N$9)),1),$F120*(1+$F$4),'Additional Input'!$D$45*IF('Additional Input'!$H$45=TRUE,(1+'Additional Input'!$D$13)^IF('Additional Input'!$K$45=TRUE,$A120,$A120-('Additional Input'!$F$45-'Additional Input'!$N$9)),1)),0))&lt;$P120,$P120,IF('Additional Input'!$D$44=TRUE,IF($O120=0,0,$F120/$O120),IF('Additional Input'!$F$45-'Additional Input'!$N$9&lt;=Projections!$A120,IF($F120*(1+$F$4)&lt;'Additional Input'!$D$45*IF('Additional Input'!$H$45=TRUE,(1+'Additional Input'!$D$13)^IF('Additional Input'!$K$45=TRUE,$A120,$A120-('Additional Input'!$F$45-'Additional Input'!$N$9)),1),$F120*(1+$F$4),'Additional Input'!$D$45*IF('Additional Input'!$H$45=TRUE,(1+'Additional Input'!$D$13)^IF('Additional Input'!$K$45=TRUE,$A120,$A120-('Additional Input'!$F$45-'Additional Input'!$N$9)),1)),0)))+Adjustments!D120)</f>
        <v/>
      </c>
      <c r="R120" s="571" t="str">
        <f ca="1">IF(A120&gt;'Additional Input'!$E$11,"",-((N120+Q120)*'Additional Input'!$D$12)+Adjustments!E120)</f>
        <v/>
      </c>
      <c r="S120" s="571" t="str">
        <f ca="1">IF(A120&gt;'Additional Input'!$E$11,"",IF($A120&gt;='Additional Input'!$D$19,-'Additional Input'!$D$18*(1+IF('Additional Input'!$F$18=TRUE,'Additional Input'!$D$13,0))^Projections!A120,0)-TaxTables!D79+Adjustments!F120-VLOOKUP(A120,Gifts,6))</f>
        <v/>
      </c>
      <c r="T120" s="126" t="str">
        <f ca="1">IF(A120&gt;'Additional Input'!$E$11,"",N120+Q120+R120+S120)</f>
        <v/>
      </c>
    </row>
    <row r="121" spans="1:20" hidden="1">
      <c r="A121" s="122">
        <f t="shared" si="3"/>
        <v>49</v>
      </c>
      <c r="B121" s="110" t="str">
        <f ca="1">IF(A121&gt;'Additional Input'!$E$11,"",IF('Additional Input'!$N$9="","",'Additional Input'!$N$9+Projections!A121)&amp;"/"&amp;IF('Additional Input'!$O$9="","",IF('Additional Input'!$O$9=0,"",'Additional Input'!$O$9+Projections!A121)))</f>
        <v/>
      </c>
      <c r="C121" s="122" t="str">
        <f ca="1">IF(A121&gt;'Additional Input'!$E$11,"",+C120+1)</f>
        <v/>
      </c>
      <c r="D121" s="159" t="str">
        <f ca="1">IF(A121&gt;'Additional Input'!$E$11,"",($D120*(1+'Additional Input'!$F$26))+$N120+$Q120+$R120+$S120+VLOOKUP(A120,Gifts,6)-VLOOKUP(A121,Gifts,6))</f>
        <v/>
      </c>
      <c r="E121" s="159" t="str">
        <f ca="1">IF(A121&gt;'Additional Input'!$E$11,"",E120*(1+'Additional Input'!$F$28))</f>
        <v/>
      </c>
      <c r="F121" s="159" t="str">
        <f ca="1">IF(A121&gt;'Additional Input'!$E$11,"",($F120*(1+'Additional Input'!$F$27))-$Q120+IF(('Additional Input'!$K$40)&gt;A120,'Additional Input'!$D$40*(1+IF('Additional Input'!$H$40=TRUE,'Additional Input'!$D$13,0))^A120,0)+IF(('Additional Input'!$K$40)&gt;A120,'Additional Input'!$F$40*(1+IF('Additional Input'!$H$40=TRUE,'Additional Input'!$D$13,0))^A120,0))</f>
        <v/>
      </c>
      <c r="G121" s="646" t="str">
        <f ca="1">IF(A121&gt;'Additional Input'!$E$11,"",-VLOOKUP(A121*12,Amortization,2))</f>
        <v/>
      </c>
      <c r="H121" s="159" t="str">
        <f ca="1">IF(A121&gt;'Additional Input'!$E$11,"",IF(A121&lt;=Calculator!$F$7,Calculator!$D$7,0)+Calculator!$D$8-IF(A121&gt;3,Calculator!$H$8,0))</f>
        <v/>
      </c>
      <c r="I121" s="159" t="str">
        <f ca="1">IF(A121&gt;'Additional Input'!$E$11,"",D121+E121+F121+G121+H121)</f>
        <v/>
      </c>
      <c r="J121" s="646" t="str">
        <f ca="1">IF(A121&gt;'Additional Input'!$E$11,"",VLOOKUP(A121,Gifts,11))</f>
        <v/>
      </c>
      <c r="K121" s="159" t="str">
        <f ca="1">IF(A121&gt;'Additional Input'!$E$11,"",IF(A121&gt;3,Calculator!$H$8,0))</f>
        <v/>
      </c>
      <c r="L121" s="159" t="str">
        <f ca="1">IF(A121&gt;'Additional Input'!$E$11,"",J121+K121)</f>
        <v/>
      </c>
      <c r="M121" s="126" t="str">
        <f ca="1">IF(A121&gt;'Additional Input'!$E$11,"",(D121*'Additional Input'!$F$26)+(E121*'Additional Input'!$F$28)+(F121*'Additional Input'!$F$27))</f>
        <v/>
      </c>
      <c r="N121" s="126" t="str">
        <f ca="1">IF(A121&gt;'Additional Input'!$E$11,"",IF(('Additional Input'!$K$35)&gt;Projections!A121,'Additional Input'!$D$35*(1+IF('Additional Input'!$H$35=TRUE,'Additional Input'!$D$13,0))^Projections!A121,0)+IF(('Additional Input'!$K$36)&gt;Projections!A121,'Additional Input'!$D$36*(1+IF('Additional Input'!$H$36=TRUE,'Additional Input'!$D$13,0))^Projections!A121,0)-IF(('Additional Input'!$K$40)&gt;A121,'Additional Input'!$D$40*(1+IF('Additional Input'!$H$39=TRUE,'Additional Input'!$D$13,0))^A121,0)+IF(('Additional Input'!$F$37-'Additional Input'!$N$9)&lt;=Projections!A121,'Additional Input'!$D$37*(1+IF('Additional Input'!$H$37=TRUE,'Additional Input'!$D$13,0))^IF('Additional Input'!$K$37=TRUE,Projections!A121,Projections!A121-('Additional Input'!$F$37-'Additional Input'!$N$9)),0)+Adjustments!C121)</f>
        <v/>
      </c>
      <c r="O121" s="823" t="str">
        <f ca="1">IF(A121&gt;'Additional Input'!$E$11,"",IF(('Additional Input'!$N$9+Projections!$A121)&gt;=IF('Additional Input'!$K$44=TRUE,71,70),VLOOKUP(('Additional Input'!$N$9+Projections!$A121),UniformTable,2),0))</f>
        <v/>
      </c>
      <c r="P121" s="822" t="str">
        <f ca="1">IF(A121&gt;'Additional Input'!$E$11,"",IF($O121=0,0,$F121/$O121))</f>
        <v/>
      </c>
      <c r="Q121" s="178" t="str">
        <f ca="1">IF(A121&gt;'Additional Input'!$E$11,"",IF(IF('Additional Input'!$D$44=TRUE,IF($O121=0,0,$F121/$O121),IF('Additional Input'!$F$45-'Additional Input'!$N$9&lt;=Projections!$A121,IF($F121*(1+$F$4)&lt;'Additional Input'!$D$45*IF('Additional Input'!$H$45=TRUE,(1+'Additional Input'!$D$13)^IF('Additional Input'!$K$45=TRUE,$A121,$A121-('Additional Input'!$F$45-'Additional Input'!$N$9)),1),$F121*(1+$F$4),'Additional Input'!$D$45*IF('Additional Input'!$H$45=TRUE,(1+'Additional Input'!$D$13)^IF('Additional Input'!$K$45=TRUE,$A121,$A121-('Additional Input'!$F$45-'Additional Input'!$N$9)),1)),0))&lt;$P121,$P121,IF('Additional Input'!$D$44=TRUE,IF($O121=0,0,$F121/$O121),IF('Additional Input'!$F$45-'Additional Input'!$N$9&lt;=Projections!$A121,IF($F121*(1+$F$4)&lt;'Additional Input'!$D$45*IF('Additional Input'!$H$45=TRUE,(1+'Additional Input'!$D$13)^IF('Additional Input'!$K$45=TRUE,$A121,$A121-('Additional Input'!$F$45-'Additional Input'!$N$9)),1),$F121*(1+$F$4),'Additional Input'!$D$45*IF('Additional Input'!$H$45=TRUE,(1+'Additional Input'!$D$13)^IF('Additional Input'!$K$45=TRUE,$A121,$A121-('Additional Input'!$F$45-'Additional Input'!$N$9)),1)),0)))+Adjustments!D121)</f>
        <v/>
      </c>
      <c r="R121" s="571" t="str">
        <f ca="1">IF(A121&gt;'Additional Input'!$E$11,"",-((N121+Q121)*'Additional Input'!$D$12)+Adjustments!E121)</f>
        <v/>
      </c>
      <c r="S121" s="571" t="str">
        <f ca="1">IF(A121&gt;'Additional Input'!$E$11,"",IF($A121&gt;='Additional Input'!$D$19,-'Additional Input'!$D$18*(1+IF('Additional Input'!$F$18=TRUE,'Additional Input'!$D$13,0))^Projections!A121,0)-TaxTables!D80+Adjustments!F121-VLOOKUP(A121,Gifts,6))</f>
        <v/>
      </c>
      <c r="T121" s="126" t="str">
        <f ca="1">IF(A121&gt;'Additional Input'!$E$11,"",N121+Q121+R121+S121)</f>
        <v/>
      </c>
    </row>
    <row r="122" spans="1:20">
      <c r="A122" s="650">
        <f t="shared" si="3"/>
        <v>50</v>
      </c>
      <c r="B122" s="651" t="str">
        <f ca="1">IF(A122&gt;'Additional Input'!$E$11,"",IF('Additional Input'!$N$9="","",'Additional Input'!$N$9+Projections!A122)&amp;"/"&amp;IF('Additional Input'!$O$9="","",IF('Additional Input'!$O$9=0,"",'Additional Input'!$O$9+Projections!A122)))</f>
        <v/>
      </c>
      <c r="C122" s="650" t="str">
        <f ca="1">IF(A122&gt;'Additional Input'!$E$11,"",+C121+1)</f>
        <v/>
      </c>
      <c r="D122" s="652" t="str">
        <f ca="1">IF(A122&gt;'Additional Input'!$E$11,"",($D121*(1+'Additional Input'!$F$26))+$N121+$Q121+$R121+$S121+VLOOKUP(A121,Gifts,6)-VLOOKUP(A122,Gifts,6))</f>
        <v/>
      </c>
      <c r="E122" s="653" t="str">
        <f ca="1">IF(A122&gt;'Additional Input'!$E$11,"",E121*(1+'Additional Input'!$F$28))</f>
        <v/>
      </c>
      <c r="F122" s="653" t="str">
        <f ca="1">IF(A122&gt;'Additional Input'!$E$11,"",($F121*(1+'Additional Input'!$F$27))-$Q121+IF(('Additional Input'!$K$40)&gt;A121,'Additional Input'!$D$40*(1+IF('Additional Input'!$H$40=TRUE,'Additional Input'!$D$13,0))^A121,0)+IF(('Additional Input'!$K$40)&gt;A121,'Additional Input'!$F$40*(1+IF('Additional Input'!$H$40=TRUE,'Additional Input'!$D$13,0))^A121,0))</f>
        <v/>
      </c>
      <c r="G122" s="853" t="str">
        <f ca="1">IF(A122&gt;'Additional Input'!$E$11,"",-VLOOKUP(A122*12,Amortization,2))</f>
        <v/>
      </c>
      <c r="H122" s="652" t="str">
        <f ca="1">IF(A122&gt;'Additional Input'!$E$11,"",IF(A122&lt;=Calculator!$F$7,Calculator!$D$7,0)+Calculator!$D$8-IF(A122&gt;3,Calculator!$H$8,0))</f>
        <v/>
      </c>
      <c r="I122" s="652" t="str">
        <f ca="1">IF(A122&gt;'Additional Input'!$E$11,"",D122+E122+F122+G122+H122)</f>
        <v/>
      </c>
      <c r="J122" s="720" t="str">
        <f ca="1">IF(A122&gt;'Additional Input'!$E$11,"",VLOOKUP(A122,Gifts,11))</f>
        <v/>
      </c>
      <c r="K122" s="721" t="str">
        <f ca="1">IF(A122&gt;'Additional Input'!$E$11,"",IF(A122&gt;3,Calculator!$H$8,0))</f>
        <v/>
      </c>
      <c r="L122" s="652" t="str">
        <f ca="1">IF(A122&gt;'Additional Input'!$E$11,"",J122+K122)</f>
        <v/>
      </c>
      <c r="M122" s="654" t="str">
        <f ca="1">IF(A122&gt;'Additional Input'!$E$11,"",(D122*'Additional Input'!$F$26)+(E122*'Additional Input'!$F$28)+(F122*'Additional Input'!$F$27))</f>
        <v/>
      </c>
      <c r="N122" s="654" t="str">
        <f ca="1">IF(A122&gt;'Additional Input'!$E$11,"",IF(('Additional Input'!$K$35)&gt;Projections!A122,'Additional Input'!$D$35*(1+IF('Additional Input'!$H$35=TRUE,'Additional Input'!$D$13,0))^Projections!A122,0)+IF(('Additional Input'!$K$36)&gt;Projections!A122,'Additional Input'!$D$36*(1+IF('Additional Input'!$H$36=TRUE,'Additional Input'!$D$13,0))^Projections!A122,0)-IF(('Additional Input'!$K$40)&gt;A122,'Additional Input'!$D$40*(1+IF('Additional Input'!$H$39=TRUE,'Additional Input'!$D$13,0))^A122,0)+IF(('Additional Input'!$F$37-'Additional Input'!$N$9)&lt;=Projections!A122,'Additional Input'!$D$37*(1+IF('Additional Input'!$H$37=TRUE,'Additional Input'!$D$13,0))^IF('Additional Input'!$K$37=TRUE,Projections!A122,Projections!A122-('Additional Input'!$F$37-'Additional Input'!$N$9)),0)+Adjustments!C122)</f>
        <v/>
      </c>
      <c r="O122" s="824" t="str">
        <f ca="1">IF(A122&gt;'Additional Input'!$E$11,"",IF(('Additional Input'!$N$9+Projections!$A122)&gt;=IF('Additional Input'!$K$44=TRUE,71,70),VLOOKUP(('Additional Input'!$N$9+Projections!$A122),UniformTable,2),0))</f>
        <v/>
      </c>
      <c r="P122" s="825" t="str">
        <f ca="1">IF(A122&gt;'Additional Input'!$E$11,"",IF($O122=0,0,$F122/$O122))</f>
        <v/>
      </c>
      <c r="Q122" s="654" t="str">
        <f ca="1">IF(A122&gt;'Additional Input'!$E$11,"",IF(IF('Additional Input'!$D$44=TRUE,IF($O122=0,0,$F122/$O122),IF('Additional Input'!$F$45-'Additional Input'!$N$9&lt;=Projections!$A122,IF($F122*(1+$F$4)&lt;'Additional Input'!$D$45*IF('Additional Input'!$H$45=TRUE,(1+'Additional Input'!$D$13)^IF('Additional Input'!$K$45=TRUE,$A122,$A122-('Additional Input'!$F$45-'Additional Input'!$N$9)),1),$F122*(1+$F$4),'Additional Input'!$D$45*IF('Additional Input'!$H$45=TRUE,(1+'Additional Input'!$D$13)^IF('Additional Input'!$K$45=TRUE,$A122,$A122-('Additional Input'!$F$45-'Additional Input'!$N$9)),1)),0))&lt;$P122,$P122,IF('Additional Input'!$D$44=TRUE,IF($O122=0,0,$F122/$O122),IF('Additional Input'!$F$45-'Additional Input'!$N$9&lt;=Projections!$A122,IF($F122*(1+$F$4)&lt;'Additional Input'!$D$45*IF('Additional Input'!$H$45=TRUE,(1+'Additional Input'!$D$13)^IF('Additional Input'!$K$45=TRUE,$A122,$A122-('Additional Input'!$F$45-'Additional Input'!$N$9)),1),$F122*(1+$F$4),'Additional Input'!$D$45*IF('Additional Input'!$H$45=TRUE,(1+'Additional Input'!$D$13)^IF('Additional Input'!$K$45=TRUE,$A122,$A122-('Additional Input'!$F$45-'Additional Input'!$N$9)),1)),0)))+Adjustments!D122)</f>
        <v/>
      </c>
      <c r="R122" s="656" t="str">
        <f ca="1">IF(A122&gt;'Additional Input'!$E$11,"",-((N122+Q122)*'Additional Input'!$D$12)+Adjustments!E122)</f>
        <v/>
      </c>
      <c r="S122" s="656" t="str">
        <f ca="1">IF(A122&gt;'Additional Input'!$E$11,"",IF($A122&gt;='Additional Input'!$D$19,-'Additional Input'!$D$18*(1+IF('Additional Input'!$F$18=TRUE,'Additional Input'!$D$13,0))^Projections!A122,0)-TaxTables!D81+Adjustments!F122-VLOOKUP(A122,Gifts,6))</f>
        <v/>
      </c>
      <c r="T122" s="654" t="str">
        <f ca="1">IF(A122&gt;'Additional Input'!$E$11,"",N122+Q122+R122+S122)</f>
        <v/>
      </c>
    </row>
    <row r="123" spans="1:20" hidden="1">
      <c r="A123" s="118">
        <f t="shared" si="3"/>
        <v>51</v>
      </c>
      <c r="B123" s="110" t="str">
        <f ca="1">IF(A123&gt;'Additional Input'!$E$11,"",IF('Additional Input'!$N$9="","",'Additional Input'!$N$9+Projections!A123)&amp;"/"&amp;IF('Additional Input'!$O$9="","",IF('Additional Input'!$O$9=0,"",'Additional Input'!$O$9+Projections!A123)))</f>
        <v/>
      </c>
      <c r="C123" s="122" t="str">
        <f ca="1">IF(A123&gt;'Additional Input'!$E$11,"",+C122+1)</f>
        <v/>
      </c>
      <c r="D123" s="159" t="str">
        <f ca="1">IF(A123&gt;'Additional Input'!$E$11,"",($D122*(1+'Additional Input'!$F$26))+$N122+$Q122+$R122+$S122+VLOOKUP(A122,Gifts,6)-VLOOKUP(A123,Gifts,6))</f>
        <v/>
      </c>
      <c r="E123" s="159" t="str">
        <f ca="1">IF(A123&gt;'Additional Input'!$E$11,"",E122*(1+'Additional Input'!$F$28))</f>
        <v/>
      </c>
      <c r="F123" s="159" t="str">
        <f ca="1">IF(A123&gt;'Additional Input'!$E$11,"",($F122*(1+'Additional Input'!$F$27))-$Q122+IF(('Additional Input'!$K$40)&gt;A122,'Additional Input'!$D$40*(1+IF('Additional Input'!$H$40=TRUE,'Additional Input'!$D$13,0))^A122,0)+IF(('Additional Input'!$K$40)&gt;A122,'Additional Input'!$F$40*(1+IF('Additional Input'!$H$40=TRUE,'Additional Input'!$D$13,0))^A122,0))</f>
        <v/>
      </c>
      <c r="G123" s="646" t="str">
        <f ca="1">IF(A123&gt;'Additional Input'!$E$11,"",-VLOOKUP(A123*12,Amortization,2))</f>
        <v/>
      </c>
      <c r="H123" s="159" t="str">
        <f ca="1">IF(A123&gt;'Additional Input'!$E$11,"",IF(A123&lt;=Calculator!$F$7,Calculator!$D$7,0)+Calculator!$D$8-IF(A123&gt;3,Calculator!$H$8,0))</f>
        <v/>
      </c>
      <c r="I123" s="159" t="str">
        <f ca="1">IF(A123&gt;'Additional Input'!$E$11,"",D123+E123+F123+G123+H123)</f>
        <v/>
      </c>
      <c r="J123" s="646" t="str">
        <f ca="1">IF(A123&gt;'Additional Input'!$E$11,"",VLOOKUP(A123,Gifts,11))</f>
        <v/>
      </c>
      <c r="K123" s="159" t="str">
        <f ca="1">IF(A123&gt;'Additional Input'!$E$11,"",IF(A123&gt;3,Calculator!$H$8,0))</f>
        <v/>
      </c>
      <c r="L123" s="159" t="str">
        <f ca="1">IF(A123&gt;'Additional Input'!$E$11,"",J123+K123)</f>
        <v/>
      </c>
      <c r="M123" s="126" t="str">
        <f ca="1">IF(A123&gt;'Additional Input'!$E$11,"",(D123*'Additional Input'!$F$26)+(E123*'Additional Input'!$F$28)+(F123*'Additional Input'!$F$27))</f>
        <v/>
      </c>
      <c r="N123" s="126" t="str">
        <f ca="1">IF(A123&gt;'Additional Input'!$E$11,"",IF(('Additional Input'!$K$35)&gt;Projections!A123,'Additional Input'!$D$35*(1+IF('Additional Input'!$H$35=TRUE,'Additional Input'!$D$13,0))^Projections!A123,0)+IF(('Additional Input'!$K$36)&gt;Projections!A123,'Additional Input'!$D$36*(1+IF('Additional Input'!$H$36=TRUE,'Additional Input'!$D$13,0))^Projections!A123,0)-IF(('Additional Input'!$K$40)&gt;A123,'Additional Input'!$D$40*(1+IF('Additional Input'!$H$39=TRUE,'Additional Input'!$D$13,0))^A123,0)+IF(('Additional Input'!$F$37-'Additional Input'!$N$9)&lt;=Projections!A123,'Additional Input'!$D$37*(1+IF('Additional Input'!$H$37=TRUE,'Additional Input'!$D$13,0))^IF('Additional Input'!$K$37=TRUE,Projections!A123,Projections!A123-('Additional Input'!$F$37-'Additional Input'!$N$9)),0)+Adjustments!C123)</f>
        <v/>
      </c>
      <c r="O123" s="823" t="str">
        <f ca="1">IF(A123&gt;'Additional Input'!$E$11,"",IF(('Additional Input'!$N$9+Projections!$A123)&gt;=IF('Additional Input'!$K$44=TRUE,71,70),VLOOKUP(('Additional Input'!$N$9+Projections!$A123),UniformTable,2),0))</f>
        <v/>
      </c>
      <c r="P123" s="822" t="str">
        <f ca="1">IF(A123&gt;'Additional Input'!$E$11,"",IF($O123=0,0,$F123/$O123))</f>
        <v/>
      </c>
      <c r="Q123" s="178" t="str">
        <f ca="1">IF(A123&gt;'Additional Input'!$E$11,"",IF(IF('Additional Input'!$D$44=TRUE,IF($O123=0,0,$F123/$O123),IF('Additional Input'!$F$45-'Additional Input'!$N$9&lt;=Projections!$A123,IF($F123*(1+$F$4)&lt;'Additional Input'!$D$45*IF('Additional Input'!$H$45=TRUE,(1+'Additional Input'!$D$13)^IF('Additional Input'!$K$45=TRUE,$A123,$A123-('Additional Input'!$F$45-'Additional Input'!$N$9)),1),$F123*(1+$F$4),'Additional Input'!$D$45*IF('Additional Input'!$H$45=TRUE,(1+'Additional Input'!$D$13)^IF('Additional Input'!$K$45=TRUE,$A123,$A123-('Additional Input'!$F$45-'Additional Input'!$N$9)),1)),0))&lt;$P123,$P123,IF('Additional Input'!$D$44=TRUE,IF($O123=0,0,$F123/$O123),IF('Additional Input'!$F$45-'Additional Input'!$N$9&lt;=Projections!$A123,IF($F123*(1+$F$4)&lt;'Additional Input'!$D$45*IF('Additional Input'!$H$45=TRUE,(1+'Additional Input'!$D$13)^IF('Additional Input'!$K$45=TRUE,$A123,$A123-('Additional Input'!$F$45-'Additional Input'!$N$9)),1),$F123*(1+$F$4),'Additional Input'!$D$45*IF('Additional Input'!$H$45=TRUE,(1+'Additional Input'!$D$13)^IF('Additional Input'!$K$45=TRUE,$A123,$A123-('Additional Input'!$F$45-'Additional Input'!$N$9)),1)),0)))+Adjustments!D123)</f>
        <v/>
      </c>
      <c r="R123" s="571" t="str">
        <f ca="1">IF(A123&gt;'Additional Input'!$E$11,"",-((N123+Q123)*'Additional Input'!$D$12)+Adjustments!E123)</f>
        <v/>
      </c>
      <c r="S123" s="571" t="str">
        <f ca="1">IF(A123&gt;'Additional Input'!$E$11,"",IF($A123&gt;='Additional Input'!$D$19,-'Additional Input'!$D$18*(1+IF('Additional Input'!$F$18=TRUE,'Additional Input'!$D$13,0))^Projections!A123,0)-TaxTables!D82+Adjustments!F123-VLOOKUP(A123,Gifts,6))</f>
        <v/>
      </c>
      <c r="T123" s="126" t="str">
        <f ca="1">IF(A123&gt;'Additional Input'!$E$11,"",N123+Q123+R123+S123)</f>
        <v/>
      </c>
    </row>
    <row r="124" spans="1:20" hidden="1">
      <c r="A124" s="118">
        <f t="shared" si="3"/>
        <v>52</v>
      </c>
      <c r="B124" s="110" t="str">
        <f ca="1">IF(A124&gt;'Additional Input'!$E$11,"",IF('Additional Input'!$N$9="","",'Additional Input'!$N$9+Projections!A124)&amp;"/"&amp;IF('Additional Input'!$O$9="","",IF('Additional Input'!$O$9=0,"",'Additional Input'!$O$9+Projections!A124)))</f>
        <v/>
      </c>
      <c r="C124" s="122" t="str">
        <f ca="1">IF(A124&gt;'Additional Input'!$E$11,"",+C123+1)</f>
        <v/>
      </c>
      <c r="D124" s="159" t="str">
        <f ca="1">IF(A124&gt;'Additional Input'!$E$11,"",($D123*(1+'Additional Input'!$F$26))+$N123+$Q123+$R123+$S123+VLOOKUP(A123,Gifts,6)-VLOOKUP(A124,Gifts,6))</f>
        <v/>
      </c>
      <c r="E124" s="159" t="str">
        <f ca="1">IF(A124&gt;'Additional Input'!$E$11,"",E123*(1+'Additional Input'!$F$28))</f>
        <v/>
      </c>
      <c r="F124" s="159" t="str">
        <f ca="1">IF(A124&gt;'Additional Input'!$E$11,"",($F123*(1+'Additional Input'!$F$27))-$Q123+IF(('Additional Input'!$K$40)&gt;A123,'Additional Input'!$D$40*(1+IF('Additional Input'!$H$40=TRUE,'Additional Input'!$D$13,0))^A123,0)+IF(('Additional Input'!$K$40)&gt;A123,'Additional Input'!$F$40*(1+IF('Additional Input'!$H$40=TRUE,'Additional Input'!$D$13,0))^A123,0))</f>
        <v/>
      </c>
      <c r="G124" s="646" t="str">
        <f ca="1">IF(A124&gt;'Additional Input'!$E$11,"",-VLOOKUP(A124*12,Amortization,2))</f>
        <v/>
      </c>
      <c r="H124" s="159" t="str">
        <f ca="1">IF(A124&gt;'Additional Input'!$E$11,"",IF(A124&lt;=Calculator!$F$7,Calculator!$D$7,0)+Calculator!$D$8-IF(A124&gt;3,Calculator!$H$8,0))</f>
        <v/>
      </c>
      <c r="I124" s="159" t="str">
        <f ca="1">IF(A124&gt;'Additional Input'!$E$11,"",D124+E124+F124+G124+H124)</f>
        <v/>
      </c>
      <c r="J124" s="646" t="str">
        <f ca="1">IF(A124&gt;'Additional Input'!$E$11,"",VLOOKUP(A124,Gifts,11))</f>
        <v/>
      </c>
      <c r="K124" s="159" t="str">
        <f ca="1">IF(A124&gt;'Additional Input'!$E$11,"",IF(A124&gt;3,Calculator!$H$8,0))</f>
        <v/>
      </c>
      <c r="L124" s="159" t="str">
        <f ca="1">IF(A124&gt;'Additional Input'!$E$11,"",J124+K124)</f>
        <v/>
      </c>
      <c r="M124" s="126" t="str">
        <f ca="1">IF(A124&gt;'Additional Input'!$E$11,"",(D124*'Additional Input'!$F$26)+(E124*'Additional Input'!$F$28)+(F124*'Additional Input'!$F$27))</f>
        <v/>
      </c>
      <c r="N124" s="126" t="str">
        <f ca="1">IF(A124&gt;'Additional Input'!$E$11,"",IF(('Additional Input'!$K$35)&gt;Projections!A124,'Additional Input'!$D$35*(1+IF('Additional Input'!$H$35=TRUE,'Additional Input'!$D$13,0))^Projections!A124,0)+IF(('Additional Input'!$K$36)&gt;Projections!A124,'Additional Input'!$D$36*(1+IF('Additional Input'!$H$36=TRUE,'Additional Input'!$D$13,0))^Projections!A124,0)-IF(('Additional Input'!$K$40)&gt;A124,'Additional Input'!$D$40*(1+IF('Additional Input'!$H$39=TRUE,'Additional Input'!$D$13,0))^A124,0)+IF(('Additional Input'!$F$37-'Additional Input'!$N$9)&lt;=Projections!A124,'Additional Input'!$D$37*(1+IF('Additional Input'!$H$37=TRUE,'Additional Input'!$D$13,0))^IF('Additional Input'!$K$37=TRUE,Projections!A124,Projections!A124-('Additional Input'!$F$37-'Additional Input'!$N$9)),0)+Adjustments!C124)</f>
        <v/>
      </c>
      <c r="O124" s="823" t="str">
        <f ca="1">IF(A124&gt;'Additional Input'!$E$11,"",IF(('Additional Input'!$N$9+Projections!$A124)&gt;=IF('Additional Input'!$K$44=TRUE,71,70),VLOOKUP(('Additional Input'!$N$9+Projections!$A124),UniformTable,2),0))</f>
        <v/>
      </c>
      <c r="P124" s="822" t="str">
        <f ca="1">IF(A124&gt;'Additional Input'!$E$11,"",IF($O124=0,0,$F124/$O124))</f>
        <v/>
      </c>
      <c r="Q124" s="178" t="str">
        <f ca="1">IF(A124&gt;'Additional Input'!$E$11,"",IF(IF('Additional Input'!$D$44=TRUE,IF($O124=0,0,$F124/$O124),IF('Additional Input'!$F$45-'Additional Input'!$N$9&lt;=Projections!$A124,IF($F124*(1+$F$4)&lt;'Additional Input'!$D$45*IF('Additional Input'!$H$45=TRUE,(1+'Additional Input'!$D$13)^IF('Additional Input'!$K$45=TRUE,$A124,$A124-('Additional Input'!$F$45-'Additional Input'!$N$9)),1),$F124*(1+$F$4),'Additional Input'!$D$45*IF('Additional Input'!$H$45=TRUE,(1+'Additional Input'!$D$13)^IF('Additional Input'!$K$45=TRUE,$A124,$A124-('Additional Input'!$F$45-'Additional Input'!$N$9)),1)),0))&lt;$P124,$P124,IF('Additional Input'!$D$44=TRUE,IF($O124=0,0,$F124/$O124),IF('Additional Input'!$F$45-'Additional Input'!$N$9&lt;=Projections!$A124,IF($F124*(1+$F$4)&lt;'Additional Input'!$D$45*IF('Additional Input'!$H$45=TRUE,(1+'Additional Input'!$D$13)^IF('Additional Input'!$K$45=TRUE,$A124,$A124-('Additional Input'!$F$45-'Additional Input'!$N$9)),1),$F124*(1+$F$4),'Additional Input'!$D$45*IF('Additional Input'!$H$45=TRUE,(1+'Additional Input'!$D$13)^IF('Additional Input'!$K$45=TRUE,$A124,$A124-('Additional Input'!$F$45-'Additional Input'!$N$9)),1)),0)))+Adjustments!D124)</f>
        <v/>
      </c>
      <c r="R124" s="571" t="str">
        <f ca="1">IF(A124&gt;'Additional Input'!$E$11,"",-((N124+Q124)*'Additional Input'!$D$12)+Adjustments!E124)</f>
        <v/>
      </c>
      <c r="S124" s="571" t="str">
        <f ca="1">IF(A124&gt;'Additional Input'!$E$11,"",IF($A124&gt;='Additional Input'!$D$19,-'Additional Input'!$D$18*(1+IF('Additional Input'!$F$18=TRUE,'Additional Input'!$D$13,0))^Projections!A124,0)-TaxTables!D83+Adjustments!F124-VLOOKUP(A124,Gifts,6))</f>
        <v/>
      </c>
      <c r="T124" s="126" t="str">
        <f ca="1">IF(A124&gt;'Additional Input'!$E$11,"",N124+Q124+R124+S124)</f>
        <v/>
      </c>
    </row>
    <row r="125" spans="1:20" hidden="1">
      <c r="A125" s="118">
        <f t="shared" si="3"/>
        <v>53</v>
      </c>
      <c r="B125" s="110" t="str">
        <f ca="1">IF(A125&gt;'Additional Input'!$E$11,"",IF('Additional Input'!$N$9="","",'Additional Input'!$N$9+Projections!A125)&amp;"/"&amp;IF('Additional Input'!$O$9="","",IF('Additional Input'!$O$9=0,"",'Additional Input'!$O$9+Projections!A125)))</f>
        <v/>
      </c>
      <c r="C125" s="122" t="str">
        <f ca="1">IF(A125&gt;'Additional Input'!$E$11,"",+C124+1)</f>
        <v/>
      </c>
      <c r="D125" s="159" t="str">
        <f ca="1">IF(A125&gt;'Additional Input'!$E$11,"",($D124*(1+'Additional Input'!$F$26))+$N124+$Q124+$R124+$S124+VLOOKUP(A124,Gifts,6)-VLOOKUP(A125,Gifts,6))</f>
        <v/>
      </c>
      <c r="E125" s="159" t="str">
        <f ca="1">IF(A125&gt;'Additional Input'!$E$11,"",E124*(1+'Additional Input'!$F$28))</f>
        <v/>
      </c>
      <c r="F125" s="159" t="str">
        <f ca="1">IF(A125&gt;'Additional Input'!$E$11,"",($F124*(1+'Additional Input'!$F$27))-$Q124+IF(('Additional Input'!$K$40)&gt;A124,'Additional Input'!$D$40*(1+IF('Additional Input'!$H$40=TRUE,'Additional Input'!$D$13,0))^A124,0)+IF(('Additional Input'!$K$40)&gt;A124,'Additional Input'!$F$40*(1+IF('Additional Input'!$H$40=TRUE,'Additional Input'!$D$13,0))^A124,0))</f>
        <v/>
      </c>
      <c r="G125" s="646" t="str">
        <f ca="1">IF(A125&gt;'Additional Input'!$E$11,"",-VLOOKUP(A125*12,Amortization,2))</f>
        <v/>
      </c>
      <c r="H125" s="159" t="str">
        <f ca="1">IF(A125&gt;'Additional Input'!$E$11,"",IF(A125&lt;=Calculator!$F$7,Calculator!$D$7,0)+Calculator!$D$8-IF(A125&gt;3,Calculator!$H$8,0))</f>
        <v/>
      </c>
      <c r="I125" s="159" t="str">
        <f ca="1">IF(A125&gt;'Additional Input'!$E$11,"",D125+E125+F125+G125+H125)</f>
        <v/>
      </c>
      <c r="J125" s="646" t="str">
        <f ca="1">IF(A125&gt;'Additional Input'!$E$11,"",VLOOKUP(A125,Gifts,11))</f>
        <v/>
      </c>
      <c r="K125" s="159" t="str">
        <f ca="1">IF(A125&gt;'Additional Input'!$E$11,"",IF(A125&gt;3,Calculator!$H$8,0))</f>
        <v/>
      </c>
      <c r="L125" s="159" t="str">
        <f ca="1">IF(A125&gt;'Additional Input'!$E$11,"",J125+K125)</f>
        <v/>
      </c>
      <c r="M125" s="126" t="str">
        <f ca="1">IF(A125&gt;'Additional Input'!$E$11,"",(D125*'Additional Input'!$F$26)+(E125*'Additional Input'!$F$28)+(F125*'Additional Input'!$F$27))</f>
        <v/>
      </c>
      <c r="N125" s="126" t="str">
        <f ca="1">IF(A125&gt;'Additional Input'!$E$11,"",IF(('Additional Input'!$K$35)&gt;Projections!A125,'Additional Input'!$D$35*(1+IF('Additional Input'!$H$35=TRUE,'Additional Input'!$D$13,0))^Projections!A125,0)+IF(('Additional Input'!$K$36)&gt;Projections!A125,'Additional Input'!$D$36*(1+IF('Additional Input'!$H$36=TRUE,'Additional Input'!$D$13,0))^Projections!A125,0)-IF(('Additional Input'!$K$40)&gt;A125,'Additional Input'!$D$40*(1+IF('Additional Input'!$H$39=TRUE,'Additional Input'!$D$13,0))^A125,0)+IF(('Additional Input'!$F$37-'Additional Input'!$N$9)&lt;=Projections!A125,'Additional Input'!$D$37*(1+IF('Additional Input'!$H$37=TRUE,'Additional Input'!$D$13,0))^IF('Additional Input'!$K$37=TRUE,Projections!A125,Projections!A125-('Additional Input'!$F$37-'Additional Input'!$N$9)),0)+Adjustments!C125)</f>
        <v/>
      </c>
      <c r="O125" s="823" t="str">
        <f ca="1">IF(A125&gt;'Additional Input'!$E$11,"",IF(('Additional Input'!$N$9+Projections!$A125)&gt;=IF('Additional Input'!$K$44=TRUE,71,70),VLOOKUP(('Additional Input'!$N$9+Projections!$A125),UniformTable,2),0))</f>
        <v/>
      </c>
      <c r="P125" s="822" t="str">
        <f ca="1">IF(A125&gt;'Additional Input'!$E$11,"",IF($O125=0,0,$F125/$O125))</f>
        <v/>
      </c>
      <c r="Q125" s="178" t="str">
        <f ca="1">IF(A125&gt;'Additional Input'!$E$11,"",IF(IF('Additional Input'!$D$44=TRUE,IF($O125=0,0,$F125/$O125),IF('Additional Input'!$F$45-'Additional Input'!$N$9&lt;=Projections!$A125,IF($F125*(1+$F$4)&lt;'Additional Input'!$D$45*IF('Additional Input'!$H$45=TRUE,(1+'Additional Input'!$D$13)^IF('Additional Input'!$K$45=TRUE,$A125,$A125-('Additional Input'!$F$45-'Additional Input'!$N$9)),1),$F125*(1+$F$4),'Additional Input'!$D$45*IF('Additional Input'!$H$45=TRUE,(1+'Additional Input'!$D$13)^IF('Additional Input'!$K$45=TRUE,$A125,$A125-('Additional Input'!$F$45-'Additional Input'!$N$9)),1)),0))&lt;$P125,$P125,IF('Additional Input'!$D$44=TRUE,IF($O125=0,0,$F125/$O125),IF('Additional Input'!$F$45-'Additional Input'!$N$9&lt;=Projections!$A125,IF($F125*(1+$F$4)&lt;'Additional Input'!$D$45*IF('Additional Input'!$H$45=TRUE,(1+'Additional Input'!$D$13)^IF('Additional Input'!$K$45=TRUE,$A125,$A125-('Additional Input'!$F$45-'Additional Input'!$N$9)),1),$F125*(1+$F$4),'Additional Input'!$D$45*IF('Additional Input'!$H$45=TRUE,(1+'Additional Input'!$D$13)^IF('Additional Input'!$K$45=TRUE,$A125,$A125-('Additional Input'!$F$45-'Additional Input'!$N$9)),1)),0)))+Adjustments!D125)</f>
        <v/>
      </c>
      <c r="R125" s="571" t="str">
        <f ca="1">IF(A125&gt;'Additional Input'!$E$11,"",-((N125+Q125)*'Additional Input'!$D$12)+Adjustments!E125)</f>
        <v/>
      </c>
      <c r="S125" s="571" t="str">
        <f ca="1">IF(A125&gt;'Additional Input'!$E$11,"",IF($A125&gt;='Additional Input'!$D$19,-'Additional Input'!$D$18*(1+IF('Additional Input'!$F$18=TRUE,'Additional Input'!$D$13,0))^Projections!A125,0)-TaxTables!D84+Adjustments!F125-VLOOKUP(A125,Gifts,6))</f>
        <v/>
      </c>
      <c r="T125" s="126" t="str">
        <f ca="1">IF(A125&gt;'Additional Input'!$E$11,"",N125+Q125+R125+S125)</f>
        <v/>
      </c>
    </row>
    <row r="126" spans="1:20" hidden="1">
      <c r="A126" s="118">
        <f t="shared" si="3"/>
        <v>54</v>
      </c>
      <c r="B126" s="110" t="str">
        <f ca="1">IF(A126&gt;'Additional Input'!$E$11,"",IF('Additional Input'!$N$9="","",'Additional Input'!$N$9+Projections!A126)&amp;"/"&amp;IF('Additional Input'!$O$9="","",IF('Additional Input'!$O$9=0,"",'Additional Input'!$O$9+Projections!A126)))</f>
        <v/>
      </c>
      <c r="C126" s="122" t="str">
        <f ca="1">IF(A126&gt;'Additional Input'!$E$11,"",+C125+1)</f>
        <v/>
      </c>
      <c r="D126" s="159" t="str">
        <f ca="1">IF(A126&gt;'Additional Input'!$E$11,"",($D125*(1+'Additional Input'!$F$26))+$N125+$Q125+$R125+$S125+VLOOKUP(A125,Gifts,6)-VLOOKUP(A126,Gifts,6))</f>
        <v/>
      </c>
      <c r="E126" s="159" t="str">
        <f ca="1">IF(A126&gt;'Additional Input'!$E$11,"",E125*(1+'Additional Input'!$F$28))</f>
        <v/>
      </c>
      <c r="F126" s="159" t="str">
        <f ca="1">IF(A126&gt;'Additional Input'!$E$11,"",($F125*(1+'Additional Input'!$F$27))-$Q125+IF(('Additional Input'!$K$40)&gt;A125,'Additional Input'!$D$40*(1+IF('Additional Input'!$H$40=TRUE,'Additional Input'!$D$13,0))^A125,0)+IF(('Additional Input'!$K$40)&gt;A125,'Additional Input'!$F$40*(1+IF('Additional Input'!$H$40=TRUE,'Additional Input'!$D$13,0))^A125,0))</f>
        <v/>
      </c>
      <c r="G126" s="646" t="str">
        <f ca="1">IF(A126&gt;'Additional Input'!$E$11,"",-VLOOKUP(A126*12,Amortization,2))</f>
        <v/>
      </c>
      <c r="H126" s="159" t="str">
        <f ca="1">IF(A126&gt;'Additional Input'!$E$11,"",IF(A126&lt;=Calculator!$F$7,Calculator!$D$7,0)+Calculator!$D$8-IF(A126&gt;3,Calculator!$H$8,0))</f>
        <v/>
      </c>
      <c r="I126" s="159" t="str">
        <f ca="1">IF(A126&gt;'Additional Input'!$E$11,"",D126+E126+F126+G126+H126)</f>
        <v/>
      </c>
      <c r="J126" s="646" t="str">
        <f ca="1">IF(A126&gt;'Additional Input'!$E$11,"",VLOOKUP(A126,Gifts,11))</f>
        <v/>
      </c>
      <c r="K126" s="159" t="str">
        <f ca="1">IF(A126&gt;'Additional Input'!$E$11,"",IF(A126&gt;3,Calculator!$H$8,0))</f>
        <v/>
      </c>
      <c r="L126" s="159" t="str">
        <f ca="1">IF(A126&gt;'Additional Input'!$E$11,"",J126+K126)</f>
        <v/>
      </c>
      <c r="M126" s="126" t="str">
        <f ca="1">IF(A126&gt;'Additional Input'!$E$11,"",(D126*'Additional Input'!$F$26)+(E126*'Additional Input'!$F$28)+(F126*'Additional Input'!$F$27))</f>
        <v/>
      </c>
      <c r="N126" s="126" t="str">
        <f ca="1">IF(A126&gt;'Additional Input'!$E$11,"",IF(('Additional Input'!$K$35)&gt;Projections!A126,'Additional Input'!$D$35*(1+IF('Additional Input'!$H$35=TRUE,'Additional Input'!$D$13,0))^Projections!A126,0)+IF(('Additional Input'!$K$36)&gt;Projections!A126,'Additional Input'!$D$36*(1+IF('Additional Input'!$H$36=TRUE,'Additional Input'!$D$13,0))^Projections!A126,0)-IF(('Additional Input'!$K$40)&gt;A126,'Additional Input'!$D$40*(1+IF('Additional Input'!$H$39=TRUE,'Additional Input'!$D$13,0))^A126,0)+IF(('Additional Input'!$F$37-'Additional Input'!$N$9)&lt;=Projections!A126,'Additional Input'!$D$37*(1+IF('Additional Input'!$H$37=TRUE,'Additional Input'!$D$13,0))^IF('Additional Input'!$K$37=TRUE,Projections!A126,Projections!A126-('Additional Input'!$F$37-'Additional Input'!$N$9)),0)+Adjustments!C126)</f>
        <v/>
      </c>
      <c r="O126" s="823" t="str">
        <f ca="1">IF(A126&gt;'Additional Input'!$E$11,"",IF(('Additional Input'!$N$9+Projections!$A126)&gt;=IF('Additional Input'!$K$44=TRUE,71,70),VLOOKUP(('Additional Input'!$N$9+Projections!$A126),UniformTable,2),0))</f>
        <v/>
      </c>
      <c r="P126" s="822" t="str">
        <f ca="1">IF(A126&gt;'Additional Input'!$E$11,"",IF($O126=0,0,$F126/$O126))</f>
        <v/>
      </c>
      <c r="Q126" s="178" t="str">
        <f ca="1">IF(A126&gt;'Additional Input'!$E$11,"",IF(IF('Additional Input'!$D$44=TRUE,IF($O126=0,0,$F126/$O126),IF('Additional Input'!$F$45-'Additional Input'!$N$9&lt;=Projections!$A126,IF($F126*(1+$F$4)&lt;'Additional Input'!$D$45*IF('Additional Input'!$H$45=TRUE,(1+'Additional Input'!$D$13)^IF('Additional Input'!$K$45=TRUE,$A126,$A126-('Additional Input'!$F$45-'Additional Input'!$N$9)),1),$F126*(1+$F$4),'Additional Input'!$D$45*IF('Additional Input'!$H$45=TRUE,(1+'Additional Input'!$D$13)^IF('Additional Input'!$K$45=TRUE,$A126,$A126-('Additional Input'!$F$45-'Additional Input'!$N$9)),1)),0))&lt;$P126,$P126,IF('Additional Input'!$D$44=TRUE,IF($O126=0,0,$F126/$O126),IF('Additional Input'!$F$45-'Additional Input'!$N$9&lt;=Projections!$A126,IF($F126*(1+$F$4)&lt;'Additional Input'!$D$45*IF('Additional Input'!$H$45=TRUE,(1+'Additional Input'!$D$13)^IF('Additional Input'!$K$45=TRUE,$A126,$A126-('Additional Input'!$F$45-'Additional Input'!$N$9)),1),$F126*(1+$F$4),'Additional Input'!$D$45*IF('Additional Input'!$H$45=TRUE,(1+'Additional Input'!$D$13)^IF('Additional Input'!$K$45=TRUE,$A126,$A126-('Additional Input'!$F$45-'Additional Input'!$N$9)),1)),0)))+Adjustments!D126)</f>
        <v/>
      </c>
      <c r="R126" s="571" t="str">
        <f ca="1">IF(A126&gt;'Additional Input'!$E$11,"",-((N126+Q126)*'Additional Input'!$D$12)+Adjustments!E126)</f>
        <v/>
      </c>
      <c r="S126" s="571" t="str">
        <f ca="1">IF(A126&gt;'Additional Input'!$E$11,"",IF($A126&gt;='Additional Input'!$D$19,-'Additional Input'!$D$18*(1+IF('Additional Input'!$F$18=TRUE,'Additional Input'!$D$13,0))^Projections!A126,0)-TaxTables!D85+Adjustments!F126-VLOOKUP(A126,Gifts,6))</f>
        <v/>
      </c>
      <c r="T126" s="126" t="str">
        <f ca="1">IF(A126&gt;'Additional Input'!$E$11,"",N126+Q126+R126+S126)</f>
        <v/>
      </c>
    </row>
    <row r="127" spans="1:20">
      <c r="A127" s="650">
        <f t="shared" si="3"/>
        <v>55</v>
      </c>
      <c r="B127" s="651" t="str">
        <f ca="1">IF(A127&gt;'Additional Input'!$E$11,"",IF('Additional Input'!$N$9="","",'Additional Input'!$N$9+Projections!A127)&amp;"/"&amp;IF('Additional Input'!$O$9="","",IF('Additional Input'!$O$9=0,"",'Additional Input'!$O$9+Projections!A127)))</f>
        <v/>
      </c>
      <c r="C127" s="650" t="str">
        <f ca="1">IF(A127&gt;'Additional Input'!$E$11,"",+C126+1)</f>
        <v/>
      </c>
      <c r="D127" s="652" t="str">
        <f ca="1">IF(A127&gt;'Additional Input'!$E$11,"",($D126*(1+'Additional Input'!$F$26))+$N126+$Q126+$R126+$S126+VLOOKUP(A126,Gifts,6)-VLOOKUP(A127,Gifts,6))</f>
        <v/>
      </c>
      <c r="E127" s="653" t="str">
        <f ca="1">IF(A127&gt;'Additional Input'!$E$11,"",E126*(1+'Additional Input'!$F$28))</f>
        <v/>
      </c>
      <c r="F127" s="653" t="str">
        <f ca="1">IF(A127&gt;'Additional Input'!$E$11,"",($F126*(1+'Additional Input'!$F$27))-$Q126+IF(('Additional Input'!$K$40)&gt;A126,'Additional Input'!$D$40*(1+IF('Additional Input'!$H$40=TRUE,'Additional Input'!$D$13,0))^A126,0)+IF(('Additional Input'!$K$40)&gt;A126,'Additional Input'!$F$40*(1+IF('Additional Input'!$H$40=TRUE,'Additional Input'!$D$13,0))^A126,0))</f>
        <v/>
      </c>
      <c r="G127" s="853" t="str">
        <f ca="1">IF(A127&gt;'Additional Input'!$E$11,"",-VLOOKUP(A127*12,Amortization,2))</f>
        <v/>
      </c>
      <c r="H127" s="652" t="str">
        <f ca="1">IF(A127&gt;'Additional Input'!$E$11,"",IF(A127&lt;=Calculator!$F$7,Calculator!$D$7,0)+Calculator!$D$8-IF(A127&gt;3,Calculator!$H$8,0))</f>
        <v/>
      </c>
      <c r="I127" s="652" t="str">
        <f ca="1">IF(A127&gt;'Additional Input'!$E$11,"",D127+E127+F127+G127+H127)</f>
        <v/>
      </c>
      <c r="J127" s="720" t="str">
        <f ca="1">IF(A127&gt;'Additional Input'!$E$11,"",VLOOKUP(A127,Gifts,11))</f>
        <v/>
      </c>
      <c r="K127" s="721" t="str">
        <f ca="1">IF(A127&gt;'Additional Input'!$E$11,"",IF(A127&gt;3,Calculator!$H$8,0))</f>
        <v/>
      </c>
      <c r="L127" s="652" t="str">
        <f ca="1">IF(A127&gt;'Additional Input'!$E$11,"",J127+K127)</f>
        <v/>
      </c>
      <c r="M127" s="654" t="str">
        <f ca="1">IF(A127&gt;'Additional Input'!$E$11,"",(D127*'Additional Input'!$F$26)+(E127*'Additional Input'!$F$28)+(F127*'Additional Input'!$F$27))</f>
        <v/>
      </c>
      <c r="N127" s="654" t="str">
        <f ca="1">IF(A127&gt;'Additional Input'!$E$11,"",IF(('Additional Input'!$K$35)&gt;Projections!A127,'Additional Input'!$D$35*(1+IF('Additional Input'!$H$35=TRUE,'Additional Input'!$D$13,0))^Projections!A127,0)+IF(('Additional Input'!$K$36)&gt;Projections!A127,'Additional Input'!$D$36*(1+IF('Additional Input'!$H$36=TRUE,'Additional Input'!$D$13,0))^Projections!A127,0)-IF(('Additional Input'!$K$40)&gt;A127,'Additional Input'!$D$40*(1+IF('Additional Input'!$H$39=TRUE,'Additional Input'!$D$13,0))^A127,0)+IF(('Additional Input'!$F$37-'Additional Input'!$N$9)&lt;=Projections!A127,'Additional Input'!$D$37*(1+IF('Additional Input'!$H$37=TRUE,'Additional Input'!$D$13,0))^IF('Additional Input'!$K$37=TRUE,Projections!A127,Projections!A127-('Additional Input'!$F$37-'Additional Input'!$N$9)),0)+Adjustments!C127)</f>
        <v/>
      </c>
      <c r="O127" s="824" t="str">
        <f ca="1">IF(A127&gt;'Additional Input'!$E$11,"",IF(('Additional Input'!$N$9+Projections!$A127)&gt;=IF('Additional Input'!$K$44=TRUE,71,70),VLOOKUP(('Additional Input'!$N$9+Projections!$A127),UniformTable,2),0))</f>
        <v/>
      </c>
      <c r="P127" s="825" t="str">
        <f ca="1">IF(A127&gt;'Additional Input'!$E$11,"",IF($O127=0,0,$F127/$O127))</f>
        <v/>
      </c>
      <c r="Q127" s="654" t="str">
        <f ca="1">IF(A127&gt;'Additional Input'!$E$11,"",IF(IF('Additional Input'!$D$44=TRUE,IF($O127=0,0,$F127/$O127),IF('Additional Input'!$F$45-'Additional Input'!$N$9&lt;=Projections!$A127,IF($F127*(1+$F$4)&lt;'Additional Input'!$D$45*IF('Additional Input'!$H$45=TRUE,(1+'Additional Input'!$D$13)^IF('Additional Input'!$K$45=TRUE,$A127,$A127-('Additional Input'!$F$45-'Additional Input'!$N$9)),1),$F127*(1+$F$4),'Additional Input'!$D$45*IF('Additional Input'!$H$45=TRUE,(1+'Additional Input'!$D$13)^IF('Additional Input'!$K$45=TRUE,$A127,$A127-('Additional Input'!$F$45-'Additional Input'!$N$9)),1)),0))&lt;$P127,$P127,IF('Additional Input'!$D$44=TRUE,IF($O127=0,0,$F127/$O127),IF('Additional Input'!$F$45-'Additional Input'!$N$9&lt;=Projections!$A127,IF($F127*(1+$F$4)&lt;'Additional Input'!$D$45*IF('Additional Input'!$H$45=TRUE,(1+'Additional Input'!$D$13)^IF('Additional Input'!$K$45=TRUE,$A127,$A127-('Additional Input'!$F$45-'Additional Input'!$N$9)),1),$F127*(1+$F$4),'Additional Input'!$D$45*IF('Additional Input'!$H$45=TRUE,(1+'Additional Input'!$D$13)^IF('Additional Input'!$K$45=TRUE,$A127,$A127-('Additional Input'!$F$45-'Additional Input'!$N$9)),1)),0)))+Adjustments!D127)</f>
        <v/>
      </c>
      <c r="R127" s="656" t="str">
        <f ca="1">IF(A127&gt;'Additional Input'!$E$11,"",-((N127+Q127)*'Additional Input'!$D$12)+Adjustments!E127)</f>
        <v/>
      </c>
      <c r="S127" s="656" t="str">
        <f ca="1">IF(A127&gt;'Additional Input'!$E$11,"",IF($A127&gt;='Additional Input'!$D$19,-'Additional Input'!$D$18*(1+IF('Additional Input'!$F$18=TRUE,'Additional Input'!$D$13,0))^Projections!A127,0)-TaxTables!D86+Adjustments!F127-VLOOKUP(A127,Gifts,6))</f>
        <v/>
      </c>
      <c r="T127" s="654" t="str">
        <f ca="1">IF(A127&gt;'Additional Input'!$E$11,"",N127+Q127+R127+S127)</f>
        <v/>
      </c>
    </row>
    <row r="128" spans="1:20" hidden="1">
      <c r="A128" s="118">
        <f t="shared" si="3"/>
        <v>56</v>
      </c>
      <c r="B128" s="110" t="str">
        <f ca="1">IF(A128&gt;'Additional Input'!$E$11,"",IF('Additional Input'!$N$9="","",'Additional Input'!$N$9+Projections!A128)&amp;"/"&amp;IF('Additional Input'!$O$9="","",IF('Additional Input'!$O$9=0,"",'Additional Input'!$O$9+Projections!A128)))</f>
        <v/>
      </c>
      <c r="C128" s="122" t="str">
        <f ca="1">IF(A128&gt;'Additional Input'!$E$11,"",+C127+1)</f>
        <v/>
      </c>
      <c r="D128" s="159" t="str">
        <f ca="1">IF(A128&gt;'Additional Input'!$E$11,"",($D127*(1+'Additional Input'!$F$26))+$N127+$Q127+$R127+$S127+VLOOKUP(A127,Gifts,6)-VLOOKUP(A128,Gifts,6))</f>
        <v/>
      </c>
      <c r="E128" s="159" t="str">
        <f ca="1">IF(A128&gt;'Additional Input'!$E$11,"",E127*(1+'Additional Input'!$F$28))</f>
        <v/>
      </c>
      <c r="F128" s="159" t="str">
        <f ca="1">IF(A128&gt;'Additional Input'!$E$11,"",($F127*(1+'Additional Input'!$F$27))-$Q127+IF(('Additional Input'!$K$40)&gt;A127,'Additional Input'!$D$40*(1+IF('Additional Input'!$H$40=TRUE,'Additional Input'!$D$13,0))^A127,0)+IF(('Additional Input'!$K$40)&gt;A127,'Additional Input'!$F$40*(1+IF('Additional Input'!$H$40=TRUE,'Additional Input'!$D$13,0))^A127,0))</f>
        <v/>
      </c>
      <c r="G128" s="646" t="str">
        <f ca="1">IF(A128&gt;'Additional Input'!$E$11,"",-VLOOKUP(A128*12,Amortization,2))</f>
        <v/>
      </c>
      <c r="H128" s="159" t="str">
        <f ca="1">IF(A128&gt;'Additional Input'!$E$11,"",IF(A128&lt;=Calculator!$F$7,Calculator!$D$7,0)+Calculator!$D$8-IF(A128&gt;3,Calculator!$H$8,0))</f>
        <v/>
      </c>
      <c r="I128" s="159" t="str">
        <f ca="1">IF(A128&gt;'Additional Input'!$E$11,"",D128+E128+F128+G128+H128)</f>
        <v/>
      </c>
      <c r="J128" s="646" t="str">
        <f ca="1">IF(A128&gt;'Additional Input'!$E$11,"",VLOOKUP(A128,Gifts,11))</f>
        <v/>
      </c>
      <c r="K128" s="159" t="str">
        <f ca="1">IF(A128&gt;'Additional Input'!$E$11,"",IF(A128&gt;3,Calculator!$H$8,0))</f>
        <v/>
      </c>
      <c r="L128" s="159" t="str">
        <f ca="1">IF(A128&gt;'Additional Input'!$E$11,"",J128+K128)</f>
        <v/>
      </c>
      <c r="M128" s="126" t="str">
        <f ca="1">IF(A128&gt;'Additional Input'!$E$11,"",(D128*'Additional Input'!$F$26)+(E128*'Additional Input'!$F$28)+(F128*'Additional Input'!$F$27))</f>
        <v/>
      </c>
      <c r="N128" s="178" t="str">
        <f ca="1">IF(A128&gt;'Additional Input'!$E$11,"",IF(('Additional Input'!$K$35)&gt;Projections!A128,'Additional Input'!$D$35*(1+IF('Additional Input'!$H$35=TRUE,'Additional Input'!$D$13,0))^Projections!A128,0)+IF(('Additional Input'!$K$36)&gt;Projections!A128,'Additional Input'!$D$36*(1+IF('Additional Input'!$H$36=TRUE,'Additional Input'!$D$13,0))^Projections!A128,0)-IF(('Additional Input'!$K$40)&gt;A128,'Additional Input'!$D$40*(1+IF('Additional Input'!$H$39=TRUE,'Additional Input'!$D$13,0))^A128,0)+IF(('Additional Input'!$F$37-'Additional Input'!$N$9)&lt;=Projections!A128,'Additional Input'!$D$37*(1+IF('Additional Input'!$H$37=TRUE,'Additional Input'!$D$13,0))^IF('Additional Input'!$K$37=TRUE,Projections!A128,Projections!A128-('Additional Input'!$F$37-'Additional Input'!$N$9)),0)+Adjustments!C128)</f>
        <v/>
      </c>
      <c r="O128" s="823" t="str">
        <f ca="1">IF(A128&gt;'Additional Input'!$E$11,"",IF(('Additional Input'!$N$9+Projections!$A128)&gt;=IF('Additional Input'!$K$44=TRUE,71,70),VLOOKUP(('Additional Input'!$N$9+Projections!$A128),UniformTable,2),0))</f>
        <v/>
      </c>
      <c r="P128" s="822" t="str">
        <f ca="1">IF(A128&gt;'Additional Input'!$E$11,"",IF($O128=0,0,$F128/$O128))</f>
        <v/>
      </c>
      <c r="Q128" s="178" t="str">
        <f ca="1">IF(A128&gt;'Additional Input'!$E$11,"",IF(IF('Additional Input'!$D$44=TRUE,IF($O128=0,0,$F128/$O128),IF('Additional Input'!$F$45-'Additional Input'!$N$9&lt;=Projections!$A128,IF($F128*(1+$F$4)&lt;'Additional Input'!$D$45*IF('Additional Input'!$H$45=TRUE,(1+'Additional Input'!$D$13)^IF('Additional Input'!$K$45=TRUE,$A128,$A128-('Additional Input'!$F$45-'Additional Input'!$N$9)),1),$F128*(1+$F$4),'Additional Input'!$D$45*IF('Additional Input'!$H$45=TRUE,(1+'Additional Input'!$D$13)^IF('Additional Input'!$K$45=TRUE,$A128,$A128-('Additional Input'!$F$45-'Additional Input'!$N$9)),1)),0))&lt;$P128,$P128,IF('Additional Input'!$D$44=TRUE,IF($O128=0,0,$F128/$O128),IF('Additional Input'!$F$45-'Additional Input'!$N$9&lt;=Projections!$A128,IF($F128*(1+$F$4)&lt;'Additional Input'!$D$45*IF('Additional Input'!$H$45=TRUE,(1+'Additional Input'!$D$13)^IF('Additional Input'!$K$45=TRUE,$A128,$A128-('Additional Input'!$F$45-'Additional Input'!$N$9)),1),$F128*(1+$F$4),'Additional Input'!$D$45*IF('Additional Input'!$H$45=TRUE,(1+'Additional Input'!$D$13)^IF('Additional Input'!$K$45=TRUE,$A128,$A128-('Additional Input'!$F$45-'Additional Input'!$N$9)),1)),0)))+Adjustments!D128)</f>
        <v/>
      </c>
      <c r="R128" s="854" t="str">
        <f ca="1">IF(A128&gt;'Additional Input'!$E$11,"",-((N128+Q128)*'Additional Input'!$D$12)+Adjustments!E128)</f>
        <v/>
      </c>
      <c r="S128" s="854" t="str">
        <f ca="1">IF(A128&gt;'Additional Input'!$E$11,"",IF($A128&gt;='Additional Input'!$D$19,-'Additional Input'!$D$18*(1+IF('Additional Input'!$F$18=TRUE,'Additional Input'!$D$13,0))^Projections!A128,0)-TaxTables!D87+Adjustments!F128-VLOOKUP(A128,Gifts,6))</f>
        <v/>
      </c>
      <c r="T128" s="126" t="str">
        <f ca="1">IF(A128&gt;'Additional Input'!$E$11,"",N128+Q128+R128+S128)</f>
        <v/>
      </c>
    </row>
    <row r="129" spans="1:20" hidden="1">
      <c r="A129" s="118">
        <f t="shared" si="3"/>
        <v>57</v>
      </c>
      <c r="B129" s="110" t="str">
        <f ca="1">IF(A129&gt;'Additional Input'!$E$11,"",IF('Additional Input'!$N$9="","",'Additional Input'!$N$9+Projections!A129)&amp;"/"&amp;IF('Additional Input'!$O$9="","",IF('Additional Input'!$O$9=0,"",'Additional Input'!$O$9+Projections!A129)))</f>
        <v/>
      </c>
      <c r="C129" s="122" t="str">
        <f ca="1">IF(A129&gt;'Additional Input'!$E$11,"",+C128+1)</f>
        <v/>
      </c>
      <c r="D129" s="159" t="str">
        <f ca="1">IF(A129&gt;'Additional Input'!$E$11,"",($D128*(1+'Additional Input'!$F$26))+$N128+$Q128+$R128+$S128+VLOOKUP(A128,Gifts,6)-VLOOKUP(A129,Gifts,6))</f>
        <v/>
      </c>
      <c r="E129" s="159" t="str">
        <f ca="1">IF(A129&gt;'Additional Input'!$E$11,"",E128*(1+'Additional Input'!$F$28))</f>
        <v/>
      </c>
      <c r="F129" s="159" t="str">
        <f ca="1">IF(A129&gt;'Additional Input'!$E$11,"",($F128*(1+'Additional Input'!$F$27))-$Q128+IF(('Additional Input'!$K$40)&gt;A128,'Additional Input'!$D$40*(1+IF('Additional Input'!$H$40=TRUE,'Additional Input'!$D$13,0))^A128,0)+IF(('Additional Input'!$K$40)&gt;A128,'Additional Input'!$F$40*(1+IF('Additional Input'!$H$40=TRUE,'Additional Input'!$D$13,0))^A128,0))</f>
        <v/>
      </c>
      <c r="G129" s="646" t="str">
        <f ca="1">IF(A129&gt;'Additional Input'!$E$11,"",-VLOOKUP(A129*12,Amortization,2))</f>
        <v/>
      </c>
      <c r="H129" s="159" t="str">
        <f ca="1">IF(A129&gt;'Additional Input'!$E$11,"",IF(A129&lt;=Calculator!$F$7,Calculator!$D$7,0)+Calculator!$D$8-IF(A129&gt;3,Calculator!$H$8,0))</f>
        <v/>
      </c>
      <c r="I129" s="159" t="str">
        <f ca="1">IF(A129&gt;'Additional Input'!$E$11,"",D129+E129+F129+G129+H129)</f>
        <v/>
      </c>
      <c r="J129" s="646" t="str">
        <f ca="1">IF(A129&gt;'Additional Input'!$E$11,"",VLOOKUP(A129,Gifts,11))</f>
        <v/>
      </c>
      <c r="K129" s="159" t="str">
        <f ca="1">IF(A129&gt;'Additional Input'!$E$11,"",IF(A129&gt;3,Calculator!$H$8,0))</f>
        <v/>
      </c>
      <c r="L129" s="159" t="str">
        <f ca="1">IF(A129&gt;'Additional Input'!$E$11,"",J129+K129)</f>
        <v/>
      </c>
      <c r="M129" s="126" t="str">
        <f ca="1">IF(A129&gt;'Additional Input'!$E$11,"",(D129*'Additional Input'!$F$26)+(E129*'Additional Input'!$F$28)+(F129*'Additional Input'!$F$27))</f>
        <v/>
      </c>
      <c r="N129" s="178" t="str">
        <f ca="1">IF(A129&gt;'Additional Input'!$E$11,"",IF(('Additional Input'!$K$35)&gt;Projections!A129,'Additional Input'!$D$35*(1+IF('Additional Input'!$H$35=TRUE,'Additional Input'!$D$13,0))^Projections!A129,0)+IF(('Additional Input'!$K$36)&gt;Projections!A129,'Additional Input'!$D$36*(1+IF('Additional Input'!$H$36=TRUE,'Additional Input'!$D$13,0))^Projections!A129,0)-IF(('Additional Input'!$K$40)&gt;A129,'Additional Input'!$D$40*(1+IF('Additional Input'!$H$39=TRUE,'Additional Input'!$D$13,0))^A129,0)+IF(('Additional Input'!$F$37-'Additional Input'!$N$9)&lt;=Projections!A129,'Additional Input'!$D$37*(1+IF('Additional Input'!$H$37=TRUE,'Additional Input'!$D$13,0))^IF('Additional Input'!$K$37=TRUE,Projections!A129,Projections!A129-('Additional Input'!$F$37-'Additional Input'!$N$9)),0)+Adjustments!C129)</f>
        <v/>
      </c>
      <c r="O129" s="823" t="str">
        <f ca="1">IF(A129&gt;'Additional Input'!$E$11,"",IF(('Additional Input'!$N$9+Projections!$A129)&gt;=IF('Additional Input'!$K$44=TRUE,71,70),VLOOKUP(('Additional Input'!$N$9+Projections!$A129),UniformTable,2),0))</f>
        <v/>
      </c>
      <c r="P129" s="822" t="str">
        <f ca="1">IF(A129&gt;'Additional Input'!$E$11,"",IF($O129=0,0,$F129/$O129))</f>
        <v/>
      </c>
      <c r="Q129" s="178" t="str">
        <f ca="1">IF(A129&gt;'Additional Input'!$E$11,"",IF(IF('Additional Input'!$D$44=TRUE,IF($O129=0,0,$F129/$O129),IF('Additional Input'!$F$45-'Additional Input'!$N$9&lt;=Projections!$A129,IF($F129*(1+$F$4)&lt;'Additional Input'!$D$45*IF('Additional Input'!$H$45=TRUE,(1+'Additional Input'!$D$13)^IF('Additional Input'!$K$45=TRUE,$A129,$A129-('Additional Input'!$F$45-'Additional Input'!$N$9)),1),$F129*(1+$F$4),'Additional Input'!$D$45*IF('Additional Input'!$H$45=TRUE,(1+'Additional Input'!$D$13)^IF('Additional Input'!$K$45=TRUE,$A129,$A129-('Additional Input'!$F$45-'Additional Input'!$N$9)),1)),0))&lt;$P129,$P129,IF('Additional Input'!$D$44=TRUE,IF($O129=0,0,$F129/$O129),IF('Additional Input'!$F$45-'Additional Input'!$N$9&lt;=Projections!$A129,IF($F129*(1+$F$4)&lt;'Additional Input'!$D$45*IF('Additional Input'!$H$45=TRUE,(1+'Additional Input'!$D$13)^IF('Additional Input'!$K$45=TRUE,$A129,$A129-('Additional Input'!$F$45-'Additional Input'!$N$9)),1),$F129*(1+$F$4),'Additional Input'!$D$45*IF('Additional Input'!$H$45=TRUE,(1+'Additional Input'!$D$13)^IF('Additional Input'!$K$45=TRUE,$A129,$A129-('Additional Input'!$F$45-'Additional Input'!$N$9)),1)),0)))+Adjustments!D129)</f>
        <v/>
      </c>
      <c r="R129" s="854" t="str">
        <f ca="1">IF(A129&gt;'Additional Input'!$E$11,"",-((N129+Q129)*'Additional Input'!$D$12)+Adjustments!E129)</f>
        <v/>
      </c>
      <c r="S129" s="854" t="str">
        <f ca="1">IF(A129&gt;'Additional Input'!$E$11,"",IF($A129&gt;='Additional Input'!$D$19,-'Additional Input'!$D$18*(1+IF('Additional Input'!$F$18=TRUE,'Additional Input'!$D$13,0))^Projections!A129,0)-TaxTables!D88+Adjustments!F129-VLOOKUP(A129,Gifts,6))</f>
        <v/>
      </c>
      <c r="T129" s="126" t="str">
        <f ca="1">IF(A129&gt;'Additional Input'!$E$11,"",N129+Q129+R129+S129)</f>
        <v/>
      </c>
    </row>
    <row r="130" spans="1:20" hidden="1">
      <c r="A130" s="118">
        <f t="shared" si="3"/>
        <v>58</v>
      </c>
      <c r="B130" s="110" t="str">
        <f ca="1">IF(A130&gt;'Additional Input'!$E$11,"",IF('Additional Input'!$N$9="","",'Additional Input'!$N$9+Projections!A130)&amp;"/"&amp;IF('Additional Input'!$O$9="","",IF('Additional Input'!$O$9=0,"",'Additional Input'!$O$9+Projections!A130)))</f>
        <v/>
      </c>
      <c r="C130" s="122" t="str">
        <f ca="1">IF(A130&gt;'Additional Input'!$E$11,"",+C129+1)</f>
        <v/>
      </c>
      <c r="D130" s="159" t="str">
        <f ca="1">IF(A130&gt;'Additional Input'!$E$11,"",($D129*(1+'Additional Input'!$F$26))+$N129+$Q129+$R129+$S129+VLOOKUP(A129,Gifts,6)-VLOOKUP(A130,Gifts,6))</f>
        <v/>
      </c>
      <c r="E130" s="159" t="str">
        <f ca="1">IF(A130&gt;'Additional Input'!$E$11,"",E129*(1+'Additional Input'!$F$28))</f>
        <v/>
      </c>
      <c r="F130" s="159" t="str">
        <f ca="1">IF(A130&gt;'Additional Input'!$E$11,"",($F129*(1+'Additional Input'!$F$27))-$Q129+IF(('Additional Input'!$K$40)&gt;A129,'Additional Input'!$D$40*(1+IF('Additional Input'!$H$40=TRUE,'Additional Input'!$D$13,0))^A129,0)+IF(('Additional Input'!$K$40)&gt;A129,'Additional Input'!$F$40*(1+IF('Additional Input'!$H$40=TRUE,'Additional Input'!$D$13,0))^A129,0))</f>
        <v/>
      </c>
      <c r="G130" s="646" t="str">
        <f ca="1">IF(A130&gt;'Additional Input'!$E$11,"",-VLOOKUP(A130*12,Amortization,2))</f>
        <v/>
      </c>
      <c r="H130" s="159" t="str">
        <f ca="1">IF(A130&gt;'Additional Input'!$E$11,"",IF(A130&lt;=Calculator!$F$7,Calculator!$D$7,0)+Calculator!$D$8-IF(A130&gt;3,Calculator!$H$8,0))</f>
        <v/>
      </c>
      <c r="I130" s="159" t="str">
        <f ca="1">IF(A130&gt;'Additional Input'!$E$11,"",D130+E130+F130+G130+H130)</f>
        <v/>
      </c>
      <c r="J130" s="646" t="str">
        <f ca="1">IF(A130&gt;'Additional Input'!$E$11,"",VLOOKUP(A130,Gifts,11))</f>
        <v/>
      </c>
      <c r="K130" s="159" t="str">
        <f ca="1">IF(A130&gt;'Additional Input'!$E$11,"",IF(A130&gt;3,Calculator!$H$8,0))</f>
        <v/>
      </c>
      <c r="L130" s="159" t="str">
        <f ca="1">IF(A130&gt;'Additional Input'!$E$11,"",J130+K130)</f>
        <v/>
      </c>
      <c r="M130" s="126" t="str">
        <f ca="1">IF(A130&gt;'Additional Input'!$E$11,"",(D130*'Additional Input'!$F$26)+(E130*'Additional Input'!$F$28)+(F130*'Additional Input'!$F$27))</f>
        <v/>
      </c>
      <c r="N130" s="178" t="str">
        <f ca="1">IF(A130&gt;'Additional Input'!$E$11,"",IF(('Additional Input'!$K$35)&gt;Projections!A130,'Additional Input'!$D$35*(1+IF('Additional Input'!$H$35=TRUE,'Additional Input'!$D$13,0))^Projections!A130,0)+IF(('Additional Input'!$K$36)&gt;Projections!A130,'Additional Input'!$D$36*(1+IF('Additional Input'!$H$36=TRUE,'Additional Input'!$D$13,0))^Projections!A130,0)-IF(('Additional Input'!$K$40)&gt;A130,'Additional Input'!$D$40*(1+IF('Additional Input'!$H$39=TRUE,'Additional Input'!$D$13,0))^A130,0)+IF(('Additional Input'!$F$37-'Additional Input'!$N$9)&lt;=Projections!A130,'Additional Input'!$D$37*(1+IF('Additional Input'!$H$37=TRUE,'Additional Input'!$D$13,0))^IF('Additional Input'!$K$37=TRUE,Projections!A130,Projections!A130-('Additional Input'!$F$37-'Additional Input'!$N$9)),0)+Adjustments!C130)</f>
        <v/>
      </c>
      <c r="O130" s="823" t="str">
        <f ca="1">IF(A130&gt;'Additional Input'!$E$11,"",IF(('Additional Input'!$N$9+Projections!$A130)&gt;=IF('Additional Input'!$K$44=TRUE,71,70),VLOOKUP(('Additional Input'!$N$9+Projections!$A130),UniformTable,2),0))</f>
        <v/>
      </c>
      <c r="P130" s="822" t="str">
        <f ca="1">IF(A130&gt;'Additional Input'!$E$11,"",IF($O130=0,0,$F130/$O130))</f>
        <v/>
      </c>
      <c r="Q130" s="178" t="str">
        <f ca="1">IF(A130&gt;'Additional Input'!$E$11,"",IF(IF('Additional Input'!$D$44=TRUE,IF($O130=0,0,$F130/$O130),IF('Additional Input'!$F$45-'Additional Input'!$N$9&lt;=Projections!$A130,IF($F130*(1+$F$4)&lt;'Additional Input'!$D$45*IF('Additional Input'!$H$45=TRUE,(1+'Additional Input'!$D$13)^IF('Additional Input'!$K$45=TRUE,$A130,$A130-('Additional Input'!$F$45-'Additional Input'!$N$9)),1),$F130*(1+$F$4),'Additional Input'!$D$45*IF('Additional Input'!$H$45=TRUE,(1+'Additional Input'!$D$13)^IF('Additional Input'!$K$45=TRUE,$A130,$A130-('Additional Input'!$F$45-'Additional Input'!$N$9)),1)),0))&lt;$P130,$P130,IF('Additional Input'!$D$44=TRUE,IF($O130=0,0,$F130/$O130),IF('Additional Input'!$F$45-'Additional Input'!$N$9&lt;=Projections!$A130,IF($F130*(1+$F$4)&lt;'Additional Input'!$D$45*IF('Additional Input'!$H$45=TRUE,(1+'Additional Input'!$D$13)^IF('Additional Input'!$K$45=TRUE,$A130,$A130-('Additional Input'!$F$45-'Additional Input'!$N$9)),1),$F130*(1+$F$4),'Additional Input'!$D$45*IF('Additional Input'!$H$45=TRUE,(1+'Additional Input'!$D$13)^IF('Additional Input'!$K$45=TRUE,$A130,$A130-('Additional Input'!$F$45-'Additional Input'!$N$9)),1)),0)))+Adjustments!D130)</f>
        <v/>
      </c>
      <c r="R130" s="854" t="str">
        <f ca="1">IF(A130&gt;'Additional Input'!$E$11,"",-((N130+Q130)*'Additional Input'!$D$12)+Adjustments!E130)</f>
        <v/>
      </c>
      <c r="S130" s="854" t="str">
        <f ca="1">IF(A130&gt;'Additional Input'!$E$11,"",IF($A130&gt;='Additional Input'!$D$19,-'Additional Input'!$D$18*(1+IF('Additional Input'!$F$18=TRUE,'Additional Input'!$D$13,0))^Projections!A130,0)-TaxTables!D89+Adjustments!F130-VLOOKUP(A130,Gifts,6))</f>
        <v/>
      </c>
      <c r="T130" s="126" t="str">
        <f ca="1">IF(A130&gt;'Additional Input'!$E$11,"",N130+Q130+R130+S130)</f>
        <v/>
      </c>
    </row>
    <row r="131" spans="1:20" hidden="1">
      <c r="A131" s="118">
        <f t="shared" si="3"/>
        <v>59</v>
      </c>
      <c r="B131" s="110" t="str">
        <f ca="1">IF(A131&gt;'Additional Input'!$E$11,"",IF('Additional Input'!$N$9="","",'Additional Input'!$N$9+Projections!A131)&amp;"/"&amp;IF('Additional Input'!$O$9="","",IF('Additional Input'!$O$9=0,"",'Additional Input'!$O$9+Projections!A131)))</f>
        <v/>
      </c>
      <c r="C131" s="122" t="str">
        <f ca="1">IF(A131&gt;'Additional Input'!$E$11,"",+C130+1)</f>
        <v/>
      </c>
      <c r="D131" s="159" t="str">
        <f ca="1">IF(A131&gt;'Additional Input'!$E$11,"",($D130*(1+'Additional Input'!$F$26))+$N130+$Q130+$R130+$S130+VLOOKUP(A130,Gifts,6)-VLOOKUP(A131,Gifts,6))</f>
        <v/>
      </c>
      <c r="E131" s="159" t="str">
        <f ca="1">IF(A131&gt;'Additional Input'!$E$11,"",E130*(1+'Additional Input'!$F$28))</f>
        <v/>
      </c>
      <c r="F131" s="159" t="str">
        <f ca="1">IF(A131&gt;'Additional Input'!$E$11,"",($F130*(1+'Additional Input'!$F$27))-$Q130+IF(('Additional Input'!$K$40)&gt;A130,'Additional Input'!$D$40*(1+IF('Additional Input'!$H$40=TRUE,'Additional Input'!$D$13,0))^A130,0)+IF(('Additional Input'!$K$40)&gt;A130,'Additional Input'!$F$40*(1+IF('Additional Input'!$H$40=TRUE,'Additional Input'!$D$13,0))^A130,0))</f>
        <v/>
      </c>
      <c r="G131" s="646" t="str">
        <f ca="1">IF(A131&gt;'Additional Input'!$E$11,"",-VLOOKUP(A131*12,Amortization,2))</f>
        <v/>
      </c>
      <c r="H131" s="159" t="str">
        <f ca="1">IF(A131&gt;'Additional Input'!$E$11,"",IF(A131&lt;=Calculator!$F$7,Calculator!$D$7,0)+Calculator!$D$8-IF(A131&gt;3,Calculator!$H$8,0))</f>
        <v/>
      </c>
      <c r="I131" s="159" t="str">
        <f ca="1">IF(A131&gt;'Additional Input'!$E$11,"",D131+E131+F131+G131+H131)</f>
        <v/>
      </c>
      <c r="J131" s="646" t="str">
        <f ca="1">IF(A131&gt;'Additional Input'!$E$11,"",VLOOKUP(A131,Gifts,11))</f>
        <v/>
      </c>
      <c r="K131" s="159" t="str">
        <f ca="1">IF(A131&gt;'Additional Input'!$E$11,"",IF(A131&gt;3,Calculator!$H$8,0))</f>
        <v/>
      </c>
      <c r="L131" s="159" t="str">
        <f ca="1">IF(A131&gt;'Additional Input'!$E$11,"",J131+K131)</f>
        <v/>
      </c>
      <c r="M131" s="126" t="str">
        <f ca="1">IF(A131&gt;'Additional Input'!$E$11,"",(D131*'Additional Input'!$F$26)+(E131*'Additional Input'!$F$28)+(F131*'Additional Input'!$F$27))</f>
        <v/>
      </c>
      <c r="N131" s="178" t="str">
        <f ca="1">IF(A131&gt;'Additional Input'!$E$11,"",IF(('Additional Input'!$K$35)&gt;Projections!A131,'Additional Input'!$D$35*(1+IF('Additional Input'!$H$35=TRUE,'Additional Input'!$D$13,0))^Projections!A131,0)+IF(('Additional Input'!$K$36)&gt;Projections!A131,'Additional Input'!$D$36*(1+IF('Additional Input'!$H$36=TRUE,'Additional Input'!$D$13,0))^Projections!A131,0)-IF(('Additional Input'!$K$40)&gt;A131,'Additional Input'!$D$40*(1+IF('Additional Input'!$H$39=TRUE,'Additional Input'!$D$13,0))^A131,0)+IF(('Additional Input'!$F$37-'Additional Input'!$N$9)&lt;=Projections!A131,'Additional Input'!$D$37*(1+IF('Additional Input'!$H$37=TRUE,'Additional Input'!$D$13,0))^IF('Additional Input'!$K$37=TRUE,Projections!A131,Projections!A131-('Additional Input'!$F$37-'Additional Input'!$N$9)),0)+Adjustments!C131)</f>
        <v/>
      </c>
      <c r="O131" s="823" t="str">
        <f ca="1">IF(A131&gt;'Additional Input'!$E$11,"",IF(('Additional Input'!$N$9+Projections!$A131)&gt;=IF('Additional Input'!$K$44=TRUE,71,70),VLOOKUP(('Additional Input'!$N$9+Projections!$A131),UniformTable,2),0))</f>
        <v/>
      </c>
      <c r="P131" s="822" t="str">
        <f ca="1">IF(A131&gt;'Additional Input'!$E$11,"",IF($O131=0,0,$F131/$O131))</f>
        <v/>
      </c>
      <c r="Q131" s="178" t="str">
        <f ca="1">IF(A131&gt;'Additional Input'!$E$11,"",IF(IF('Additional Input'!$D$44=TRUE,IF($O131=0,0,$F131/$O131),IF('Additional Input'!$F$45-'Additional Input'!$N$9&lt;=Projections!$A131,IF($F131*(1+$F$4)&lt;'Additional Input'!$D$45*IF('Additional Input'!$H$45=TRUE,(1+'Additional Input'!$D$13)^IF('Additional Input'!$K$45=TRUE,$A131,$A131-('Additional Input'!$F$45-'Additional Input'!$N$9)),1),$F131*(1+$F$4),'Additional Input'!$D$45*IF('Additional Input'!$H$45=TRUE,(1+'Additional Input'!$D$13)^IF('Additional Input'!$K$45=TRUE,$A131,$A131-('Additional Input'!$F$45-'Additional Input'!$N$9)),1)),0))&lt;$P131,$P131,IF('Additional Input'!$D$44=TRUE,IF($O131=0,0,$F131/$O131),IF('Additional Input'!$F$45-'Additional Input'!$N$9&lt;=Projections!$A131,IF($F131*(1+$F$4)&lt;'Additional Input'!$D$45*IF('Additional Input'!$H$45=TRUE,(1+'Additional Input'!$D$13)^IF('Additional Input'!$K$45=TRUE,$A131,$A131-('Additional Input'!$F$45-'Additional Input'!$N$9)),1),$F131*(1+$F$4),'Additional Input'!$D$45*IF('Additional Input'!$H$45=TRUE,(1+'Additional Input'!$D$13)^IF('Additional Input'!$K$45=TRUE,$A131,$A131-('Additional Input'!$F$45-'Additional Input'!$N$9)),1)),0)))+Adjustments!D131)</f>
        <v/>
      </c>
      <c r="R131" s="854" t="str">
        <f ca="1">IF(A131&gt;'Additional Input'!$E$11,"",-((N131+Q131)*'Additional Input'!$D$12)+Adjustments!E131)</f>
        <v/>
      </c>
      <c r="S131" s="854" t="str">
        <f ca="1">IF(A131&gt;'Additional Input'!$E$11,"",IF($A131&gt;='Additional Input'!$D$19,-'Additional Input'!$D$18*(1+IF('Additional Input'!$F$18=TRUE,'Additional Input'!$D$13,0))^Projections!A131,0)-TaxTables!D90+Adjustments!F131-VLOOKUP(A131,Gifts,6))</f>
        <v/>
      </c>
      <c r="T131" s="126" t="str">
        <f ca="1">IF(A131&gt;'Additional Input'!$E$11,"",N131+Q131+R131+S131)</f>
        <v/>
      </c>
    </row>
    <row r="132" spans="1:20">
      <c r="A132" s="650">
        <f t="shared" si="3"/>
        <v>60</v>
      </c>
      <c r="B132" s="651" t="str">
        <f ca="1">IF(A132&gt;'Additional Input'!$E$11,"",IF('Additional Input'!$N$9="","",'Additional Input'!$N$9+Projections!A132)&amp;"/"&amp;IF('Additional Input'!$O$9="","",IF('Additional Input'!$O$9=0,"",'Additional Input'!$O$9+Projections!A132)))</f>
        <v/>
      </c>
      <c r="C132" s="650" t="str">
        <f ca="1">IF(A132&gt;'Additional Input'!$E$11,"",+C131+1)</f>
        <v/>
      </c>
      <c r="D132" s="652" t="str">
        <f ca="1">IF(A132&gt;'Additional Input'!$E$11,"",($D131*(1+'Additional Input'!$F$26))+$N131+$Q131+$R131+$S131+VLOOKUP(A131,Gifts,6)-VLOOKUP(A132,Gifts,6))</f>
        <v/>
      </c>
      <c r="E132" s="653" t="str">
        <f ca="1">IF(A132&gt;'Additional Input'!$E$11,"",E131*(1+'Additional Input'!$F$28))</f>
        <v/>
      </c>
      <c r="F132" s="653" t="str">
        <f ca="1">IF(A132&gt;'Additional Input'!$E$11,"",($F131*(1+'Additional Input'!$F$27))-$Q131+IF(('Additional Input'!$K$40)&gt;A131,'Additional Input'!$D$40*(1+IF('Additional Input'!$H$40=TRUE,'Additional Input'!$D$13,0))^A131,0)+IF(('Additional Input'!$K$40)&gt;A131,'Additional Input'!$F$40*(1+IF('Additional Input'!$H$40=TRUE,'Additional Input'!$D$13,0))^A131,0))</f>
        <v/>
      </c>
      <c r="G132" s="853" t="str">
        <f ca="1">IF(A132&gt;'Additional Input'!$E$11,"",-VLOOKUP(A132*12,Amortization,2))</f>
        <v/>
      </c>
      <c r="H132" s="652" t="str">
        <f ca="1">IF(A132&gt;'Additional Input'!$E$11,"",IF(A132&lt;=Calculator!$F$7,Calculator!$D$7,0)+Calculator!$D$8-IF(A132&gt;3,Calculator!$H$8,0))</f>
        <v/>
      </c>
      <c r="I132" s="652" t="str">
        <f ca="1">IF(A132&gt;'Additional Input'!$E$11,"",D132+E132+F132+G132+H132)</f>
        <v/>
      </c>
      <c r="J132" s="720" t="str">
        <f ca="1">IF(A132&gt;'Additional Input'!$E$11,"",VLOOKUP(A132,Gifts,11))</f>
        <v/>
      </c>
      <c r="K132" s="721" t="str">
        <f ca="1">IF(A132&gt;'Additional Input'!$E$11,"",IF(A132&gt;3,Calculator!$H$8,0))</f>
        <v/>
      </c>
      <c r="L132" s="652" t="str">
        <f ca="1">IF(A132&gt;'Additional Input'!$E$11,"",J132+K132)</f>
        <v/>
      </c>
      <c r="M132" s="654" t="str">
        <f ca="1">IF(A132&gt;'Additional Input'!$E$11,"",(D132*'Additional Input'!$F$26)+(E132*'Additional Input'!$F$28)+(F132*'Additional Input'!$F$27))</f>
        <v/>
      </c>
      <c r="N132" s="654" t="str">
        <f ca="1">IF(A132&gt;'Additional Input'!$E$11,"",IF(('Additional Input'!$K$35)&gt;Projections!A132,'Additional Input'!$D$35*(1+IF('Additional Input'!$H$35=TRUE,'Additional Input'!$D$13,0))^Projections!A132,0)+IF(('Additional Input'!$K$36)&gt;Projections!A132,'Additional Input'!$D$36*(1+IF('Additional Input'!$H$36=TRUE,'Additional Input'!$D$13,0))^Projections!A132,0)-IF(('Additional Input'!$K$40)&gt;A132,'Additional Input'!$D$40*(1+IF('Additional Input'!$H$39=TRUE,'Additional Input'!$D$13,0))^A132,0)+IF(('Additional Input'!$F$37-'Additional Input'!$N$9)&lt;=Projections!A132,'Additional Input'!$D$37*(1+IF('Additional Input'!$H$37=TRUE,'Additional Input'!$D$13,0))^IF('Additional Input'!$K$37=TRUE,Projections!A132,Projections!A132-('Additional Input'!$F$37-'Additional Input'!$N$9)),0)+Adjustments!C132)</f>
        <v/>
      </c>
      <c r="O132" s="824" t="str">
        <f ca="1">IF(A132&gt;'Additional Input'!$E$11,"",IF(('Additional Input'!$N$9+Projections!$A132)&gt;=IF('Additional Input'!$K$44=TRUE,71,70),VLOOKUP(('Additional Input'!$N$9+Projections!$A132),UniformTable,2),0))</f>
        <v/>
      </c>
      <c r="P132" s="825" t="str">
        <f ca="1">IF(A132&gt;'Additional Input'!$E$11,"",IF($O132=0,0,$F132/$O132))</f>
        <v/>
      </c>
      <c r="Q132" s="654" t="str">
        <f ca="1">IF(A132&gt;'Additional Input'!$E$11,"",IF(IF('Additional Input'!$D$44=TRUE,IF($O132=0,0,$F132/$O132),IF('Additional Input'!$F$45-'Additional Input'!$N$9&lt;=Projections!$A132,IF($F132*(1+$F$4)&lt;'Additional Input'!$D$45*IF('Additional Input'!$H$45=TRUE,(1+'Additional Input'!$D$13)^IF('Additional Input'!$K$45=TRUE,$A132,$A132-('Additional Input'!$F$45-'Additional Input'!$N$9)),1),$F132*(1+$F$4),'Additional Input'!$D$45*IF('Additional Input'!$H$45=TRUE,(1+'Additional Input'!$D$13)^IF('Additional Input'!$K$45=TRUE,$A132,$A132-('Additional Input'!$F$45-'Additional Input'!$N$9)),1)),0))&lt;$P132,$P132,IF('Additional Input'!$D$44=TRUE,IF($O132=0,0,$F132/$O132),IF('Additional Input'!$F$45-'Additional Input'!$N$9&lt;=Projections!$A132,IF($F132*(1+$F$4)&lt;'Additional Input'!$D$45*IF('Additional Input'!$H$45=TRUE,(1+'Additional Input'!$D$13)^IF('Additional Input'!$K$45=TRUE,$A132,$A132-('Additional Input'!$F$45-'Additional Input'!$N$9)),1),$F132*(1+$F$4),'Additional Input'!$D$45*IF('Additional Input'!$H$45=TRUE,(1+'Additional Input'!$D$13)^IF('Additional Input'!$K$45=TRUE,$A132,$A132-('Additional Input'!$F$45-'Additional Input'!$N$9)),1)),0)))+Adjustments!D132)</f>
        <v/>
      </c>
      <c r="R132" s="656" t="str">
        <f ca="1">IF(A132&gt;'Additional Input'!$E$11,"",-((N132+Q132)*'Additional Input'!$D$12)+Adjustments!E132)</f>
        <v/>
      </c>
      <c r="S132" s="656" t="str">
        <f ca="1">IF(A132&gt;'Additional Input'!$E$11,"",IF($A132&gt;='Additional Input'!$D$19,-'Additional Input'!$D$18*(1+IF('Additional Input'!$F$18=TRUE,'Additional Input'!$D$13,0))^Projections!A132,0)-TaxTables!D91+Adjustments!F132-VLOOKUP(A132,Gifts,6))</f>
        <v/>
      </c>
      <c r="T132" s="654" t="str">
        <f ca="1">IF(A132&gt;'Additional Input'!$E$11,"",N132+Q132+R132+S132)</f>
        <v/>
      </c>
    </row>
    <row r="133" spans="1:20">
      <c r="A133" s="1069"/>
      <c r="B133" s="1069"/>
      <c r="C133" s="1069"/>
      <c r="D133" s="1069"/>
      <c r="E133" s="370"/>
      <c r="F133" s="370"/>
      <c r="G133" s="179"/>
      <c r="H133" s="179"/>
      <c r="I133" s="179"/>
      <c r="K133" s="179"/>
      <c r="L133" s="179"/>
      <c r="M133" s="370" t="s">
        <v>366</v>
      </c>
      <c r="N133" s="183">
        <f t="shared" ref="N133" ca="1" si="4">SUM(N72:N132)</f>
        <v>0</v>
      </c>
      <c r="O133" s="369"/>
      <c r="P133" s="183">
        <f t="shared" ref="P133:S133" ca="1" si="5">SUM(P72:P132)</f>
        <v>0</v>
      </c>
      <c r="Q133" s="183">
        <f t="shared" ca="1" si="5"/>
        <v>0</v>
      </c>
      <c r="R133" s="572">
        <f t="shared" ca="1" si="5"/>
        <v>0</v>
      </c>
      <c r="S133" s="572">
        <f t="shared" ca="1" si="5"/>
        <v>-3468000</v>
      </c>
      <c r="T133" s="180"/>
    </row>
    <row r="134" spans="1:20" ht="15.75" thickBot="1"/>
    <row r="135" spans="1:20" ht="27" thickBot="1">
      <c r="A135" s="1075"/>
      <c r="B135" s="1076"/>
      <c r="C135" s="1077"/>
      <c r="D135" s="1024" t="s">
        <v>447</v>
      </c>
      <c r="E135" s="1025"/>
      <c r="F135" s="1072" t="s">
        <v>456</v>
      </c>
      <c r="G135" s="1073"/>
      <c r="H135" s="1073"/>
      <c r="I135" s="1073"/>
      <c r="J135" s="1073"/>
      <c r="K135" s="1074"/>
      <c r="L135" s="658"/>
      <c r="M135" s="1078" t="s">
        <v>447</v>
      </c>
      <c r="N135" s="1079"/>
      <c r="O135" s="1072" t="s">
        <v>405</v>
      </c>
      <c r="P135" s="1073"/>
      <c r="Q135" s="1073"/>
      <c r="R135" s="1073"/>
      <c r="S135" s="1073"/>
      <c r="T135" s="1074"/>
    </row>
    <row r="136" spans="1:20">
      <c r="A136" s="1071" t="s">
        <v>299</v>
      </c>
      <c r="B136" s="1071"/>
      <c r="C136" s="1071"/>
      <c r="D136" s="1071"/>
      <c r="E136" s="1071"/>
      <c r="F136" s="1071"/>
      <c r="G136" s="1071"/>
      <c r="H136" s="1071"/>
      <c r="I136" s="1071"/>
      <c r="J136" s="1071"/>
      <c r="K136" s="1071"/>
      <c r="L136" s="1071"/>
      <c r="M136" s="1071" t="s">
        <v>365</v>
      </c>
      <c r="N136" s="1071"/>
      <c r="O136" s="1071"/>
      <c r="P136" s="1071"/>
      <c r="Q136" s="1071"/>
      <c r="R136" s="1071"/>
      <c r="S136" s="1071"/>
      <c r="T136" s="1071"/>
    </row>
    <row r="137" spans="1:20" ht="24">
      <c r="A137" s="387" t="s">
        <v>6</v>
      </c>
      <c r="B137" s="387" t="s">
        <v>234</v>
      </c>
      <c r="C137" s="387" t="s">
        <v>2</v>
      </c>
      <c r="D137" s="387" t="s">
        <v>293</v>
      </c>
      <c r="E137" s="387" t="str">
        <f>'Additional Input'!$A$28</f>
        <v>Fixed Assets</v>
      </c>
      <c r="F137" s="387" t="str">
        <f>'Additional Input'!$A$27</f>
        <v>Qualified Assets</v>
      </c>
      <c r="G137" s="387" t="s">
        <v>240</v>
      </c>
      <c r="H137" s="387" t="s">
        <v>443</v>
      </c>
      <c r="I137" s="387" t="s">
        <v>427</v>
      </c>
      <c r="J137" s="644" t="s">
        <v>462</v>
      </c>
      <c r="K137" s="557" t="s">
        <v>461</v>
      </c>
      <c r="L137" s="557" t="s">
        <v>433</v>
      </c>
      <c r="M137" s="387" t="s">
        <v>228</v>
      </c>
      <c r="N137" s="387" t="s">
        <v>274</v>
      </c>
      <c r="O137" s="391" t="s">
        <v>334</v>
      </c>
      <c r="P137" s="392" t="s">
        <v>236</v>
      </c>
      <c r="Q137" s="387" t="s">
        <v>287</v>
      </c>
      <c r="R137" s="387" t="s">
        <v>232</v>
      </c>
      <c r="S137" s="387" t="s">
        <v>292</v>
      </c>
      <c r="T137" s="387" t="s">
        <v>239</v>
      </c>
    </row>
    <row r="138" spans="1:20">
      <c r="A138" s="160"/>
      <c r="B138" s="160"/>
      <c r="C138" s="160"/>
      <c r="D138" s="161">
        <f>'Additional Input'!$F$26</f>
        <v>0.04</v>
      </c>
      <c r="E138" s="161">
        <f>'Additional Input'!$F$28</f>
        <v>0.03</v>
      </c>
      <c r="F138" s="161">
        <f>'Additional Input'!$F$27</f>
        <v>0.06</v>
      </c>
      <c r="G138" s="161">
        <f>'Additional Input'!F163</f>
        <v>0</v>
      </c>
      <c r="H138" s="161" t="s">
        <v>442</v>
      </c>
      <c r="I138" s="162"/>
      <c r="J138" s="645"/>
      <c r="K138" s="162"/>
      <c r="L138" s="162"/>
      <c r="M138" s="388">
        <f ca="1">IF(I139=0,0,M139/(I139-G139))</f>
        <v>0.04</v>
      </c>
      <c r="N138" s="1070" t="s">
        <v>335</v>
      </c>
      <c r="O138" s="1070"/>
      <c r="P138" s="1070"/>
      <c r="Q138" s="1070"/>
      <c r="R138" s="389">
        <f>'Additional Input'!D146</f>
        <v>0</v>
      </c>
      <c r="S138" s="390">
        <f>IF('Additional Input'!F152=TRUE,'Additional Input'!D147,0)</f>
        <v>0</v>
      </c>
      <c r="T138" s="163"/>
    </row>
    <row r="139" spans="1:20">
      <c r="A139" s="122">
        <v>0</v>
      </c>
      <c r="B139" s="158" t="str">
        <f ca="1">'Additional Input'!$N$9&amp;"/"&amp;IF('Additional Input'!$O$9="","",IF('Additional Input'!$O$9=0,"",'Additional Input'!$O$9))</f>
        <v>60/60</v>
      </c>
      <c r="C139" s="566">
        <f>'Additional Input'!N147</f>
        <v>0</v>
      </c>
      <c r="D139" s="159">
        <f>'Additional Input'!$D$26</f>
        <v>15000000</v>
      </c>
      <c r="E139" s="159">
        <f>'Additional Input'!$D$28</f>
        <v>0</v>
      </c>
      <c r="F139" s="159">
        <f>'Additional Input'!$D$27</f>
        <v>0</v>
      </c>
      <c r="G139" s="646">
        <f>-'Additional Input'!$D$29</f>
        <v>0</v>
      </c>
      <c r="H139" s="159">
        <f ca="1">IF(A139&gt;'Additional Input'!$E$11,"",IF(A139&lt;=Calculator!$F$7,Calculator!$D$7,0)+Calculator!$D$8)</f>
        <v>0</v>
      </c>
      <c r="I139" s="159">
        <f ca="1">D139+E139+F139+G139+H139</f>
        <v>15000000</v>
      </c>
      <c r="J139" s="646">
        <f ca="1">IF(A139&gt;'Additional Input'!$E$11,"",0)</f>
        <v>0</v>
      </c>
      <c r="K139" s="159">
        <f ca="1">IF(A139&gt;'Additional Input'!$E$11,"",0)</f>
        <v>0</v>
      </c>
      <c r="L139" s="159">
        <f ca="1">IF(A139&gt;'Additional Input'!$E$11,"",J139+K139)</f>
        <v>0</v>
      </c>
      <c r="M139" s="126">
        <f>(D139*'Additional Input'!$F$26)+(E139*'Additional Input'!$F$28)+(F139*'Additional Input'!$F$27)</f>
        <v>600000</v>
      </c>
      <c r="N139" s="126">
        <f ca="1">IF(('Additional Input'!$K$35)&gt;Projections!A139,'Additional Input'!$D$35*(1+IF('Additional Input'!$H$35=TRUE,'Additional Input'!$D$13,0))^Projections!A139,0)+IF(('Additional Input'!$K$36)&gt;Projections!A139,'Additional Input'!$D$36*(1+IF('Additional Input'!$H$36=TRUE,'Additional Input'!$D$13,0))^Projections!A139,0)-IF(('Additional Input'!$K$40)&gt;A139,'Additional Input'!$D$40*(1+IF('Additional Input'!$H$39=TRUE,'Additional Input'!$D$13,0))^A139,0)+IF(('Additional Input'!$F$37-'Additional Input'!$N$9)&lt;=Projections!A139,'Additional Input'!$D$37*(1+IF('Additional Input'!$H$37=TRUE,'Additional Input'!$D$13,0))^IF('Additional Input'!$K$37=TRUE,Projections!A139,Projections!A139-('Additional Input'!$F$37-'Additional Input'!$N$9)),0)+Adjustments!C139</f>
        <v>0</v>
      </c>
      <c r="O139" s="823">
        <f ca="1">IF(('Additional Input'!$N$9+Projections!$A139)&gt;=IF('Additional Input'!$K$44=TRUE,71,70),VLOOKUP(('Additional Input'!$N$9+Projections!$A139),UniformTable,2),0)</f>
        <v>0</v>
      </c>
      <c r="P139" s="822">
        <f ca="1">IF($O139=0,0,$F139/$O139)</f>
        <v>0</v>
      </c>
      <c r="Q139" s="126">
        <f ca="1">IF(IF('Additional Input'!$D$44=TRUE,IF($O139=0,0,$F139/$O139),IF('Additional Input'!$F$45-'Additional Input'!$N$9&lt;=Projections!$A139,IF($F139*(1+$F$4)&lt;'Additional Input'!$D$45*IF('Additional Input'!$H$45=TRUE,(1+'Additional Input'!$D$13)^$A139,1),$F139*(1+$F$4),'Additional Input'!$D$45*IF('Additional Input'!$H$45=TRUE,(1+'Additional Input'!$D$13)^$A139,1)),0))&lt;$P139,$P139,IF('Additional Input'!$D$44=TRUE,IF($O139=0,0,$F139/$O139),IF('Additional Input'!$F$45-'Additional Input'!$N$9&lt;=Projections!$A139,IF($F139*(1+$F$4)&lt;'Additional Input'!$D$45*IF('Additional Input'!$H$45=TRUE,(1+'Additional Input'!$D$13)^$A139,1),$F139*(1+$F$4),'Additional Input'!$D$45*IF('Additional Input'!$H$45=TRUE,(1+'Additional Input'!$D$13)^$A139,1)),0)))+Adjustments!D139</f>
        <v>0</v>
      </c>
      <c r="R139" s="571">
        <f ca="1">-((N139+Q139)*'Additional Input'!$D$12)+Adjustments!E139</f>
        <v>0</v>
      </c>
      <c r="S139" s="571">
        <f>IF($A139&gt;='Additional Input'!$D$19,-'Additional Input'!$D$18*(1+IF('Additional Input'!$F$18=TRUE,'Additional Input'!$D$13,0))^Projections!A139,0)-TaxTables!D31+Adjustments!F139</f>
        <v>0</v>
      </c>
      <c r="T139" s="126">
        <f ca="1">N139+Q139+R139+S139</f>
        <v>0</v>
      </c>
    </row>
    <row r="140" spans="1:20">
      <c r="A140" s="122">
        <f t="shared" ref="A140:A199" si="6">+A139+1</f>
        <v>1</v>
      </c>
      <c r="B140" s="110" t="str">
        <f ca="1">IF(A140&gt;'Additional Input'!$E$11,"",IF('Additional Input'!$N$9="","",'Additional Input'!$N$9+Projections!A140)&amp;"/"&amp;IF('Additional Input'!$O$9="","",IF('Additional Input'!$O$9=0,"",'Additional Input'!$O$9+Projections!A140)))</f>
        <v>61/61</v>
      </c>
      <c r="C140" s="122">
        <f ca="1">IF(A140&gt;'Additional Input'!$E$11,"",+C139+1)</f>
        <v>1</v>
      </c>
      <c r="D140" s="159">
        <f ca="1">IF(A140&gt;'Additional Input'!$E$11,"",($D139*(1+'Additional Input'!$F$26))+$N139+$Q139+$R139+$S139)</f>
        <v>15600000</v>
      </c>
      <c r="E140" s="159">
        <f ca="1">IF(A140&gt;'Additional Input'!$E$11,"",E139*(1+'Additional Input'!$F$28))</f>
        <v>0</v>
      </c>
      <c r="F140" s="159">
        <f ca="1">IF(A140&gt;'Additional Input'!$E$11,"",($F139*(1+'Additional Input'!$F$27))-$Q139+IF(('Additional Input'!$K$40)&gt;A139,'Additional Input'!$D$40*(1+IF('Additional Input'!$H$40=TRUE,'Additional Input'!$D$13,0))^A139,0)+IF(('Additional Input'!$K$40)&gt;A139,'Additional Input'!$F$40*(1+IF('Additional Input'!$H$40=TRUE,'Additional Input'!$D$13,0))^A139,0))</f>
        <v>0</v>
      </c>
      <c r="G140" s="646">
        <f ca="1">IF(A140&gt;'Additional Input'!$E$11,"",-VLOOKUP(A140*12,Amortization,2))</f>
        <v>0</v>
      </c>
      <c r="H140" s="159">
        <f ca="1">IF(A140&gt;'Additional Input'!$E$11,"",IF(A140&lt;=Calculator!$F$7,Calculator!$D$7,0)+Calculator!$D$8)</f>
        <v>0</v>
      </c>
      <c r="I140" s="159">
        <f ca="1">IF(A140&gt;'Additional Input'!$E$11,"",D140+E140+F140+G140+H140)</f>
        <v>15600000</v>
      </c>
      <c r="J140" s="646">
        <f ca="1">IF(A140&gt;'Additional Input'!$E$11,"",0)</f>
        <v>0</v>
      </c>
      <c r="K140" s="159">
        <f ca="1">IF(A140&gt;'Additional Input'!$E$11,"",0)</f>
        <v>0</v>
      </c>
      <c r="L140" s="159">
        <f ca="1">IF(A140&gt;'Additional Input'!$E$11,"",J140+K140)</f>
        <v>0</v>
      </c>
      <c r="M140" s="126">
        <f ca="1">IF(A140&gt;'Additional Input'!$E$11,"",(D140*'Additional Input'!$F$26)+(E140*'Additional Input'!$F$28)+(F140*'Additional Input'!$F$27))</f>
        <v>624000</v>
      </c>
      <c r="N140" s="126">
        <f ca="1">IF(A140&gt;'Additional Input'!$E$11,"",IF(('Additional Input'!$K$35)&gt;Projections!A140,'Additional Input'!$D$35*(1+IF('Additional Input'!$H$35=TRUE,'Additional Input'!$D$13,0))^Projections!A140,0)+IF(('Additional Input'!$K$36)&gt;Projections!A140,'Additional Input'!$D$36*(1+IF('Additional Input'!$H$36=TRUE,'Additional Input'!$D$13,0))^Projections!A140,0)-IF(('Additional Input'!$K$40)&gt;A140,'Additional Input'!$D$40*(1+IF('Additional Input'!$H$39=TRUE,'Additional Input'!$D$13,0))^A140,0)+IF(('Additional Input'!$F$37-'Additional Input'!$N$9)&lt;=Projections!A140,'Additional Input'!$D$37*(1+IF('Additional Input'!$H$37=TRUE,'Additional Input'!$D$13,0))^IF('Additional Input'!$K$37=TRUE,Projections!A140,Projections!A140-('Additional Input'!$F$37-'Additional Input'!$N$9)),0)+Adjustments!C140)</f>
        <v>0</v>
      </c>
      <c r="O140" s="823">
        <f ca="1">IF(A140&gt;'Additional Input'!$E$11,"",IF(('Additional Input'!$N$9+Projections!$A140)&gt;=IF('Additional Input'!$K$44=TRUE,71,70),VLOOKUP(('Additional Input'!$N$9+Projections!$A140),UniformTable,2),0))</f>
        <v>0</v>
      </c>
      <c r="P140" s="822">
        <f ca="1">IF(A140&gt;'Additional Input'!$E$11,"",IF($O140=0,0,$F140/$O140))</f>
        <v>0</v>
      </c>
      <c r="Q140" s="178">
        <f ca="1">IF(A140&gt;'Additional Input'!$E$11,"",IF(IF('Additional Input'!$D$44=TRUE,IF($O140=0,0,$F140/$O140),IF('Additional Input'!$F$45-'Additional Input'!$N$9&lt;=Projections!$A140,IF($F140*(1+$F$4)&lt;'Additional Input'!$D$45*IF('Additional Input'!$H$45=TRUE,(1+'Additional Input'!$D$13)^IF('Additional Input'!$K$45=TRUE,$A140,$A140-('Additional Input'!$F$45-'Additional Input'!$N$9)),1),$F140*(1+$F$4),'Additional Input'!$D$45*IF('Additional Input'!$H$45=TRUE,(1+'Additional Input'!$D$13)^IF('Additional Input'!$K$45=TRUE,$A140,$A140-('Additional Input'!$F$45-'Additional Input'!$N$9)),1)),0))&lt;$P140,$P140,IF('Additional Input'!$D$44=TRUE,IF($O140=0,0,$F140/$O140),IF('Additional Input'!$F$45-'Additional Input'!$N$9&lt;=Projections!$A140,IF($F140*(1+$F$4)&lt;'Additional Input'!$D$45*IF('Additional Input'!$H$45=TRUE,(1+'Additional Input'!$D$13)^IF('Additional Input'!$K$45=TRUE,$A140,$A140-('Additional Input'!$F$45-'Additional Input'!$N$9)),1),$F140*(1+$F$4),'Additional Input'!$D$45*IF('Additional Input'!$H$45=TRUE,(1+'Additional Input'!$D$13)^IF('Additional Input'!$K$45=TRUE,$A140,$A140-('Additional Input'!$F$45-'Additional Input'!$N$9)),1)),0)))+Adjustments!D140)</f>
        <v>0</v>
      </c>
      <c r="R140" s="571">
        <f ca="1">IF(A140&gt;'Additional Input'!$E$11,"",-((N140+Q140)*'Additional Input'!$D$12)+Adjustments!E140)</f>
        <v>0</v>
      </c>
      <c r="S140" s="571">
        <f ca="1">IF(A140&gt;'Additional Input'!$E$11,"",IF($A140&gt;='Additional Input'!$D$19,-'Additional Input'!$D$18*(1+IF('Additional Input'!$F$18=TRUE,'Additional Input'!$D$13,0))^Projections!A140,0)-TaxTables!D32+Adjustments!F140)</f>
        <v>0</v>
      </c>
      <c r="T140" s="126">
        <f ca="1">IF(A140&gt;'Additional Input'!$E$11,"",N140+Q140+R140+S140)</f>
        <v>0</v>
      </c>
    </row>
    <row r="141" spans="1:20">
      <c r="A141" s="122">
        <f t="shared" si="6"/>
        <v>2</v>
      </c>
      <c r="B141" s="110" t="str">
        <f ca="1">IF(A141&gt;'Additional Input'!$E$11,"",IF('Additional Input'!$N$9="","",'Additional Input'!$N$9+Projections!A141)&amp;"/"&amp;IF('Additional Input'!$O$9="","",IF('Additional Input'!$O$9=0,"",'Additional Input'!$O$9+Projections!A141)))</f>
        <v>62/62</v>
      </c>
      <c r="C141" s="122">
        <f ca="1">IF(A141&gt;'Additional Input'!$E$11,"",+C140+1)</f>
        <v>2</v>
      </c>
      <c r="D141" s="159">
        <f ca="1">IF(A141&gt;'Additional Input'!$E$11,"",($D140*(1+'Additional Input'!$F$26))+$N140+$Q140+$R140+$S140)</f>
        <v>16224000</v>
      </c>
      <c r="E141" s="159">
        <f ca="1">IF(A141&gt;'Additional Input'!$E$11,"",E140*(1+'Additional Input'!$F$28))</f>
        <v>0</v>
      </c>
      <c r="F141" s="159">
        <f ca="1">IF(A141&gt;'Additional Input'!$E$11,"",($F140*(1+'Additional Input'!$F$27))-$Q140+IF(('Additional Input'!$K$40)&gt;A140,'Additional Input'!$D$40*(1+IF('Additional Input'!$H$40=TRUE,'Additional Input'!$D$13,0))^A140,0)+IF(('Additional Input'!$K$40)&gt;A140,'Additional Input'!$F$40*(1+IF('Additional Input'!$H$40=TRUE,'Additional Input'!$D$13,0))^A140,0))</f>
        <v>0</v>
      </c>
      <c r="G141" s="646">
        <f ca="1">IF(A141&gt;'Additional Input'!$E$11,"",-VLOOKUP(A141*12,Amortization,2))</f>
        <v>0</v>
      </c>
      <c r="H141" s="159">
        <f ca="1">IF(A141&gt;'Additional Input'!$E$11,"",IF(A141&lt;=Calculator!$F$7,Calculator!$D$7,0)+Calculator!$D$8)</f>
        <v>0</v>
      </c>
      <c r="I141" s="159">
        <f ca="1">IF(A141&gt;'Additional Input'!$E$11,"",D141+E141+F141+G141+H141)</f>
        <v>16224000</v>
      </c>
      <c r="J141" s="646">
        <f ca="1">IF(A141&gt;'Additional Input'!$E$11,"",0)</f>
        <v>0</v>
      </c>
      <c r="K141" s="159">
        <f ca="1">IF(A141&gt;'Additional Input'!$E$11,"",0)</f>
        <v>0</v>
      </c>
      <c r="L141" s="159">
        <f ca="1">IF(A141&gt;'Additional Input'!$E$11,"",J141+K141)</f>
        <v>0</v>
      </c>
      <c r="M141" s="126">
        <f ca="1">IF(A141&gt;'Additional Input'!$E$11,"",(D141*'Additional Input'!$F$26)+(E141*'Additional Input'!$F$28)+(F141*'Additional Input'!$F$27))</f>
        <v>648960</v>
      </c>
      <c r="N141" s="126">
        <f ca="1">IF(A141&gt;'Additional Input'!$E$11,"",IF(('Additional Input'!$K$35)&gt;Projections!A141,'Additional Input'!$D$35*(1+IF('Additional Input'!$H$35=TRUE,'Additional Input'!$D$13,0))^Projections!A141,0)+IF(('Additional Input'!$K$36)&gt;Projections!A141,'Additional Input'!$D$36*(1+IF('Additional Input'!$H$36=TRUE,'Additional Input'!$D$13,0))^Projections!A141,0)-IF(('Additional Input'!$K$40)&gt;A141,'Additional Input'!$D$40*(1+IF('Additional Input'!$H$39=TRUE,'Additional Input'!$D$13,0))^A141,0)+IF(('Additional Input'!$F$37-'Additional Input'!$N$9)&lt;=Projections!A141,'Additional Input'!$D$37*(1+IF('Additional Input'!$H$37=TRUE,'Additional Input'!$D$13,0))^IF('Additional Input'!$K$37=TRUE,Projections!A141,Projections!A141-('Additional Input'!$F$37-'Additional Input'!$N$9)),0)+Adjustments!C141)</f>
        <v>0</v>
      </c>
      <c r="O141" s="823">
        <f ca="1">IF(A141&gt;'Additional Input'!$E$11,"",IF(('Additional Input'!$N$9+Projections!$A141)&gt;=IF('Additional Input'!$K$44=TRUE,71,70),VLOOKUP(('Additional Input'!$N$9+Projections!$A141),UniformTable,2),0))</f>
        <v>0</v>
      </c>
      <c r="P141" s="822">
        <f ca="1">IF(A141&gt;'Additional Input'!$E$11,"",IF($O141=0,0,$F141/$O141))</f>
        <v>0</v>
      </c>
      <c r="Q141" s="178">
        <f ca="1">IF(A141&gt;'Additional Input'!$E$11,"",IF(IF('Additional Input'!$D$44=TRUE,IF($O141=0,0,$F141/$O141),IF('Additional Input'!$F$45-'Additional Input'!$N$9&lt;=Projections!$A141,IF($F141*(1+$F$4)&lt;'Additional Input'!$D$45*IF('Additional Input'!$H$45=TRUE,(1+'Additional Input'!$D$13)^IF('Additional Input'!$K$45=TRUE,$A141,$A141-('Additional Input'!$F$45-'Additional Input'!$N$9)),1),$F141*(1+$F$4),'Additional Input'!$D$45*IF('Additional Input'!$H$45=TRUE,(1+'Additional Input'!$D$13)^IF('Additional Input'!$K$45=TRUE,$A141,$A141-('Additional Input'!$F$45-'Additional Input'!$N$9)),1)),0))&lt;$P141,$P141,IF('Additional Input'!$D$44=TRUE,IF($O141=0,0,$F141/$O141),IF('Additional Input'!$F$45-'Additional Input'!$N$9&lt;=Projections!$A141,IF($F141*(1+$F$4)&lt;'Additional Input'!$D$45*IF('Additional Input'!$H$45=TRUE,(1+'Additional Input'!$D$13)^IF('Additional Input'!$K$45=TRUE,$A141,$A141-('Additional Input'!$F$45-'Additional Input'!$N$9)),1),$F141*(1+$F$4),'Additional Input'!$D$45*IF('Additional Input'!$H$45=TRUE,(1+'Additional Input'!$D$13)^IF('Additional Input'!$K$45=TRUE,$A141,$A141-('Additional Input'!$F$45-'Additional Input'!$N$9)),1)),0)))+Adjustments!D141)</f>
        <v>0</v>
      </c>
      <c r="R141" s="571">
        <f ca="1">IF(A141&gt;'Additional Input'!$E$11,"",-((N141+Q141)*'Additional Input'!$D$12)+Adjustments!E141)</f>
        <v>0</v>
      </c>
      <c r="S141" s="571">
        <f ca="1">IF(A141&gt;'Additional Input'!$E$11,"",IF($A141&gt;='Additional Input'!$D$19,-'Additional Input'!$D$18*(1+IF('Additional Input'!$F$18=TRUE,'Additional Input'!$D$13,0))^Projections!A141,0)-TaxTables!D33+Adjustments!F141)</f>
        <v>0</v>
      </c>
      <c r="T141" s="126">
        <f ca="1">IF(A141&gt;'Additional Input'!$E$11,"",N141+Q141+R141+S141)</f>
        <v>0</v>
      </c>
    </row>
    <row r="142" spans="1:20">
      <c r="A142" s="122">
        <f t="shared" si="6"/>
        <v>3</v>
      </c>
      <c r="B142" s="110" t="str">
        <f ca="1">IF(A142&gt;'Additional Input'!$E$11,"",IF('Additional Input'!$N$9="","",'Additional Input'!$N$9+Projections!A142)&amp;"/"&amp;IF('Additional Input'!$O$9="","",IF('Additional Input'!$O$9=0,"",'Additional Input'!$O$9+Projections!A142)))</f>
        <v>63/63</v>
      </c>
      <c r="C142" s="122">
        <f ca="1">IF(A142&gt;'Additional Input'!$E$11,"",+C141+1)</f>
        <v>3</v>
      </c>
      <c r="D142" s="159">
        <f ca="1">IF(A142&gt;'Additional Input'!$E$11,"",($D141*(1+'Additional Input'!$F$26))+$N141+$Q141+$R141+$S141)</f>
        <v>16872960</v>
      </c>
      <c r="E142" s="159">
        <f ca="1">IF(A142&gt;'Additional Input'!$E$11,"",E141*(1+'Additional Input'!$F$28))</f>
        <v>0</v>
      </c>
      <c r="F142" s="159">
        <f ca="1">IF(A142&gt;'Additional Input'!$E$11,"",($F141*(1+'Additional Input'!$F$27))-$Q141+IF(('Additional Input'!$K$40)&gt;A141,'Additional Input'!$D$40*(1+IF('Additional Input'!$H$40=TRUE,'Additional Input'!$D$13,0))^A141,0)+IF(('Additional Input'!$K$40)&gt;A141,'Additional Input'!$F$40*(1+IF('Additional Input'!$H$40=TRUE,'Additional Input'!$D$13,0))^A141,0))</f>
        <v>0</v>
      </c>
      <c r="G142" s="646">
        <f ca="1">IF(A142&gt;'Additional Input'!$E$11,"",-VLOOKUP(A142*12,Amortization,2))</f>
        <v>0</v>
      </c>
      <c r="H142" s="159">
        <f ca="1">IF(A142&gt;'Additional Input'!$E$11,"",IF(A142&lt;=Calculator!$F$7,Calculator!$D$7,0)+Calculator!$D$8)</f>
        <v>0</v>
      </c>
      <c r="I142" s="159">
        <f ca="1">IF(A142&gt;'Additional Input'!$E$11,"",D142+E142+F142+G142+H142)</f>
        <v>16872960</v>
      </c>
      <c r="J142" s="646">
        <f ca="1">IF(A142&gt;'Additional Input'!$E$11,"",0)</f>
        <v>0</v>
      </c>
      <c r="K142" s="159">
        <f ca="1">IF(A142&gt;'Additional Input'!$E$11,"",0)</f>
        <v>0</v>
      </c>
      <c r="L142" s="159">
        <f ca="1">IF(A142&gt;'Additional Input'!$E$11,"",J142+K142)</f>
        <v>0</v>
      </c>
      <c r="M142" s="126">
        <f ca="1">IF(A142&gt;'Additional Input'!$E$11,"",(D142*'Additional Input'!$F$26)+(E142*'Additional Input'!$F$28)+(F142*'Additional Input'!$F$27))</f>
        <v>674918.40000000002</v>
      </c>
      <c r="N142" s="126">
        <f ca="1">IF(A142&gt;'Additional Input'!$E$11,"",IF(('Additional Input'!$K$35)&gt;Projections!A142,'Additional Input'!$D$35*(1+IF('Additional Input'!$H$35=TRUE,'Additional Input'!$D$13,0))^Projections!A142,0)+IF(('Additional Input'!$K$36)&gt;Projections!A142,'Additional Input'!$D$36*(1+IF('Additional Input'!$H$36=TRUE,'Additional Input'!$D$13,0))^Projections!A142,0)-IF(('Additional Input'!$K$40)&gt;A142,'Additional Input'!$D$40*(1+IF('Additional Input'!$H$39=TRUE,'Additional Input'!$D$13,0))^A142,0)+IF(('Additional Input'!$F$37-'Additional Input'!$N$9)&lt;=Projections!A142,'Additional Input'!$D$37*(1+IF('Additional Input'!$H$37=TRUE,'Additional Input'!$D$13,0))^IF('Additional Input'!$K$37=TRUE,Projections!A142,Projections!A142-('Additional Input'!$F$37-'Additional Input'!$N$9)),0)+Adjustments!C142)</f>
        <v>0</v>
      </c>
      <c r="O142" s="823">
        <f ca="1">IF(A142&gt;'Additional Input'!$E$11,"",IF(('Additional Input'!$N$9+Projections!$A142)&gt;=IF('Additional Input'!$K$44=TRUE,71,70),VLOOKUP(('Additional Input'!$N$9+Projections!$A142),UniformTable,2),0))</f>
        <v>0</v>
      </c>
      <c r="P142" s="822">
        <f ca="1">IF(A142&gt;'Additional Input'!$E$11,"",IF($O142=0,0,$F142/$O142))</f>
        <v>0</v>
      </c>
      <c r="Q142" s="178">
        <f ca="1">IF(A142&gt;'Additional Input'!$E$11,"",IF(IF('Additional Input'!$D$44=TRUE,IF($O142=0,0,$F142/$O142),IF('Additional Input'!$F$45-'Additional Input'!$N$9&lt;=Projections!$A142,IF($F142*(1+$F$4)&lt;'Additional Input'!$D$45*IF('Additional Input'!$H$45=TRUE,(1+'Additional Input'!$D$13)^IF('Additional Input'!$K$45=TRUE,$A142,$A142-('Additional Input'!$F$45-'Additional Input'!$N$9)),1),$F142*(1+$F$4),'Additional Input'!$D$45*IF('Additional Input'!$H$45=TRUE,(1+'Additional Input'!$D$13)^IF('Additional Input'!$K$45=TRUE,$A142,$A142-('Additional Input'!$F$45-'Additional Input'!$N$9)),1)),0))&lt;$P142,$P142,IF('Additional Input'!$D$44=TRUE,IF($O142=0,0,$F142/$O142),IF('Additional Input'!$F$45-'Additional Input'!$N$9&lt;=Projections!$A142,IF($F142*(1+$F$4)&lt;'Additional Input'!$D$45*IF('Additional Input'!$H$45=TRUE,(1+'Additional Input'!$D$13)^IF('Additional Input'!$K$45=TRUE,$A142,$A142-('Additional Input'!$F$45-'Additional Input'!$N$9)),1),$F142*(1+$F$4),'Additional Input'!$D$45*IF('Additional Input'!$H$45=TRUE,(1+'Additional Input'!$D$13)^IF('Additional Input'!$K$45=TRUE,$A142,$A142-('Additional Input'!$F$45-'Additional Input'!$N$9)),1)),0)))+Adjustments!D142)</f>
        <v>0</v>
      </c>
      <c r="R142" s="571">
        <f ca="1">IF(A142&gt;'Additional Input'!$E$11,"",-((N142+Q142)*'Additional Input'!$D$12)+Adjustments!E142)</f>
        <v>0</v>
      </c>
      <c r="S142" s="571">
        <f ca="1">IF(A142&gt;'Additional Input'!$E$11,"",IF($A142&gt;='Additional Input'!$D$19,-'Additional Input'!$D$18*(1+IF('Additional Input'!$F$18=TRUE,'Additional Input'!$D$13,0))^Projections!A142,0)-TaxTables!D34+Adjustments!F142)</f>
        <v>0</v>
      </c>
      <c r="T142" s="126">
        <f ca="1">IF(A142&gt;'Additional Input'!$E$11,"",N142+Q142+R142+S142)</f>
        <v>0</v>
      </c>
    </row>
    <row r="143" spans="1:20">
      <c r="A143" s="122">
        <f t="shared" si="6"/>
        <v>4</v>
      </c>
      <c r="B143" s="110" t="str">
        <f ca="1">IF(A143&gt;'Additional Input'!$E$11,"",IF('Additional Input'!$N$9="","",'Additional Input'!$N$9+Projections!A143)&amp;"/"&amp;IF('Additional Input'!$O$9="","",IF('Additional Input'!$O$9=0,"",'Additional Input'!$O$9+Projections!A143)))</f>
        <v>64/64</v>
      </c>
      <c r="C143" s="122">
        <f ca="1">IF(A143&gt;'Additional Input'!$E$11,"",+C142+1)</f>
        <v>4</v>
      </c>
      <c r="D143" s="159">
        <f ca="1">IF(A143&gt;'Additional Input'!$E$11,"",($D142*(1+'Additional Input'!$F$26))+$N142+$Q142+$R142+$S142)</f>
        <v>17547878.400000002</v>
      </c>
      <c r="E143" s="159">
        <f ca="1">IF(A143&gt;'Additional Input'!$E$11,"",E142*(1+'Additional Input'!$F$28))</f>
        <v>0</v>
      </c>
      <c r="F143" s="159">
        <f ca="1">IF(A143&gt;'Additional Input'!$E$11,"",($F142*(1+'Additional Input'!$F$27))-$Q142+IF(('Additional Input'!$K$40)&gt;A142,'Additional Input'!$D$40*(1+IF('Additional Input'!$H$40=TRUE,'Additional Input'!$D$13,0))^A142,0)+IF(('Additional Input'!$K$40)&gt;A142,'Additional Input'!$F$40*(1+IF('Additional Input'!$H$40=TRUE,'Additional Input'!$D$13,0))^A142,0))</f>
        <v>0</v>
      </c>
      <c r="G143" s="646">
        <f ca="1">IF(A143&gt;'Additional Input'!$E$11,"",-VLOOKUP(A143*12,Amortization,2))</f>
        <v>0</v>
      </c>
      <c r="H143" s="159">
        <f ca="1">IF(A143&gt;'Additional Input'!$E$11,"",IF(A143&lt;=Calculator!$F$7,Calculator!$D$7,0)+Calculator!$D$8)</f>
        <v>0</v>
      </c>
      <c r="I143" s="159">
        <f ca="1">IF(A143&gt;'Additional Input'!$E$11,"",D143+E143+F143+G143+H143)</f>
        <v>17547878.400000002</v>
      </c>
      <c r="J143" s="646">
        <f ca="1">IF(A143&gt;'Additional Input'!$E$11,"",0)</f>
        <v>0</v>
      </c>
      <c r="K143" s="159">
        <f ca="1">IF(A143&gt;'Additional Input'!$E$11,"",0)</f>
        <v>0</v>
      </c>
      <c r="L143" s="159">
        <f ca="1">IF(A143&gt;'Additional Input'!$E$11,"",J143+K143)</f>
        <v>0</v>
      </c>
      <c r="M143" s="126">
        <f ca="1">IF(A143&gt;'Additional Input'!$E$11,"",(D143*'Additional Input'!$F$26)+(E143*'Additional Input'!$F$28)+(F143*'Additional Input'!$F$27))</f>
        <v>701915.13600000006</v>
      </c>
      <c r="N143" s="126">
        <f ca="1">IF(A143&gt;'Additional Input'!$E$11,"",IF(('Additional Input'!$K$35)&gt;Projections!A143,'Additional Input'!$D$35*(1+IF('Additional Input'!$H$35=TRUE,'Additional Input'!$D$13,0))^Projections!A143,0)+IF(('Additional Input'!$K$36)&gt;Projections!A143,'Additional Input'!$D$36*(1+IF('Additional Input'!$H$36=TRUE,'Additional Input'!$D$13,0))^Projections!A143,0)-IF(('Additional Input'!$K$40)&gt;A143,'Additional Input'!$D$40*(1+IF('Additional Input'!$H$39=TRUE,'Additional Input'!$D$13,0))^A143,0)+IF(('Additional Input'!$F$37-'Additional Input'!$N$9)&lt;=Projections!A143,'Additional Input'!$D$37*(1+IF('Additional Input'!$H$37=TRUE,'Additional Input'!$D$13,0))^IF('Additional Input'!$K$37=TRUE,Projections!A143,Projections!A143-('Additional Input'!$F$37-'Additional Input'!$N$9)),0)+Adjustments!C143)</f>
        <v>0</v>
      </c>
      <c r="O143" s="823">
        <f ca="1">IF(A143&gt;'Additional Input'!$E$11,"",IF(('Additional Input'!$N$9+Projections!$A143)&gt;=IF('Additional Input'!$K$44=TRUE,71,70),VLOOKUP(('Additional Input'!$N$9+Projections!$A143),UniformTable,2),0))</f>
        <v>0</v>
      </c>
      <c r="P143" s="822">
        <f ca="1">IF(A143&gt;'Additional Input'!$E$11,"",IF($O143=0,0,$F143/$O143))</f>
        <v>0</v>
      </c>
      <c r="Q143" s="178">
        <f ca="1">IF(A143&gt;'Additional Input'!$E$11,"",IF(IF('Additional Input'!$D$44=TRUE,IF($O143=0,0,$F143/$O143),IF('Additional Input'!$F$45-'Additional Input'!$N$9&lt;=Projections!$A143,IF($F143*(1+$F$4)&lt;'Additional Input'!$D$45*IF('Additional Input'!$H$45=TRUE,(1+'Additional Input'!$D$13)^IF('Additional Input'!$K$45=TRUE,$A143,$A143-('Additional Input'!$F$45-'Additional Input'!$N$9)),1),$F143*(1+$F$4),'Additional Input'!$D$45*IF('Additional Input'!$H$45=TRUE,(1+'Additional Input'!$D$13)^IF('Additional Input'!$K$45=TRUE,$A143,$A143-('Additional Input'!$F$45-'Additional Input'!$N$9)),1)),0))&lt;$P143,$P143,IF('Additional Input'!$D$44=TRUE,IF($O143=0,0,$F143/$O143),IF('Additional Input'!$F$45-'Additional Input'!$N$9&lt;=Projections!$A143,IF($F143*(1+$F$4)&lt;'Additional Input'!$D$45*IF('Additional Input'!$H$45=TRUE,(1+'Additional Input'!$D$13)^IF('Additional Input'!$K$45=TRUE,$A143,$A143-('Additional Input'!$F$45-'Additional Input'!$N$9)),1),$F143*(1+$F$4),'Additional Input'!$D$45*IF('Additional Input'!$H$45=TRUE,(1+'Additional Input'!$D$13)^IF('Additional Input'!$K$45=TRUE,$A143,$A143-('Additional Input'!$F$45-'Additional Input'!$N$9)),1)),0)))+Adjustments!D143)</f>
        <v>0</v>
      </c>
      <c r="R143" s="571">
        <f ca="1">IF(A143&gt;'Additional Input'!$E$11,"",-((N143+Q143)*'Additional Input'!$D$12)+Adjustments!E143)</f>
        <v>0</v>
      </c>
      <c r="S143" s="571">
        <f ca="1">IF(A143&gt;'Additional Input'!$E$11,"",IF($A143&gt;='Additional Input'!$D$19,-'Additional Input'!$D$18*(1+IF('Additional Input'!$F$18=TRUE,'Additional Input'!$D$13,0))^Projections!A143,0)-TaxTables!D35+Adjustments!F143)</f>
        <v>0</v>
      </c>
      <c r="T143" s="126">
        <f ca="1">IF(A143&gt;'Additional Input'!$E$11,"",N143+Q143+R143+S143)</f>
        <v>0</v>
      </c>
    </row>
    <row r="144" spans="1:20">
      <c r="A144" s="650">
        <f t="shared" si="6"/>
        <v>5</v>
      </c>
      <c r="B144" s="651" t="str">
        <f ca="1">IF(A144&gt;'Additional Input'!$E$11,"",IF('Additional Input'!$N$9="","",'Additional Input'!$N$9+Projections!A144)&amp;"/"&amp;IF('Additional Input'!$O$9="","",IF('Additional Input'!$O$9=0,"",'Additional Input'!$O$9+Projections!A144)))</f>
        <v>65/65</v>
      </c>
      <c r="C144" s="650">
        <f ca="1">IF(A144&gt;'Additional Input'!$E$11,"",+C143+1)</f>
        <v>5</v>
      </c>
      <c r="D144" s="721">
        <f ca="1">IF(A144&gt;'Additional Input'!$E$11,"",($D143*(1+'Additional Input'!$F$26))+$N143+$Q143+$R143+$S143)</f>
        <v>18249793.536000002</v>
      </c>
      <c r="E144" s="653">
        <f ca="1">IF(A144&gt;'Additional Input'!$E$11,"",E143*(1+'Additional Input'!$F$28))</f>
        <v>0</v>
      </c>
      <c r="F144" s="653">
        <f ca="1">IF(A144&gt;'Additional Input'!$E$11,"",($F143*(1+'Additional Input'!$F$27))-$Q143+IF(('Additional Input'!$K$40)&gt;A143,'Additional Input'!$D$40*(1+IF('Additional Input'!$H$40=TRUE,'Additional Input'!$D$13,0))^A143,0)+IF(('Additional Input'!$K$40)&gt;A143,'Additional Input'!$F$40*(1+IF('Additional Input'!$H$40=TRUE,'Additional Input'!$D$13,0))^A143,0))</f>
        <v>0</v>
      </c>
      <c r="G144" s="853">
        <f ca="1">IF(A144&gt;'Additional Input'!$E$11,"",-VLOOKUP(A144*12,Amortization,2))</f>
        <v>0</v>
      </c>
      <c r="H144" s="721">
        <f ca="1">IF(A144&gt;'Additional Input'!$E$11,"",IF(A144&lt;=Calculator!$F$7,Calculator!$D$7,0)+Calculator!$D$8)</f>
        <v>0</v>
      </c>
      <c r="I144" s="652">
        <f ca="1">IF(A144&gt;'Additional Input'!$E$11,"",D144+E144+F144+G144+H144)</f>
        <v>18249793.536000002</v>
      </c>
      <c r="J144" s="720">
        <f ca="1">IF(A144&gt;'Additional Input'!$E$11,"",0)</f>
        <v>0</v>
      </c>
      <c r="K144" s="721">
        <f ca="1">IF(A144&gt;'Additional Input'!$E$11,"",0)</f>
        <v>0</v>
      </c>
      <c r="L144" s="652">
        <f ca="1">IF(A144&gt;'Additional Input'!$E$11,"",J144+K144)</f>
        <v>0</v>
      </c>
      <c r="M144" s="654">
        <f ca="1">IF(A144&gt;'Additional Input'!$E$11,"",(D144*'Additional Input'!$F$26)+(E144*'Additional Input'!$F$28)+(F144*'Additional Input'!$F$27))</f>
        <v>729991.74144000013</v>
      </c>
      <c r="N144" s="655">
        <f ca="1">IF(A144&gt;'Additional Input'!$E$11,"",IF(('Additional Input'!$K$35)&gt;Projections!A144,'Additional Input'!$D$35*(1+IF('Additional Input'!$H$35=TRUE,'Additional Input'!$D$13,0))^Projections!A144,0)+IF(('Additional Input'!$K$36)&gt;Projections!A144,'Additional Input'!$D$36*(1+IF('Additional Input'!$H$36=TRUE,'Additional Input'!$D$13,0))^Projections!A144,0)-IF(('Additional Input'!$K$40)&gt;A144,'Additional Input'!$D$40*(1+IF('Additional Input'!$H$39=TRUE,'Additional Input'!$D$13,0))^A144,0)+IF(('Additional Input'!$F$37-'Additional Input'!$N$9)&lt;=Projections!A144,'Additional Input'!$D$37*(1+IF('Additional Input'!$H$37=TRUE,'Additional Input'!$D$13,0))^IF('Additional Input'!$K$37=TRUE,Projections!A144,Projections!A144-('Additional Input'!$F$37-'Additional Input'!$N$9)),0)+Adjustments!C144)</f>
        <v>0</v>
      </c>
      <c r="O144" s="824">
        <f ca="1">IF(A144&gt;'Additional Input'!$E$11,"",IF(('Additional Input'!$N$9+Projections!$A144)&gt;=IF('Additional Input'!$K$44=TRUE,71,70),VLOOKUP(('Additional Input'!$N$9+Projections!$A144),UniformTable,2),0))</f>
        <v>0</v>
      </c>
      <c r="P144" s="825">
        <f ca="1">IF(A144&gt;'Additional Input'!$E$11,"",IF($O144=0,0,$F144/$O144))</f>
        <v>0</v>
      </c>
      <c r="Q144" s="655">
        <f ca="1">IF(A144&gt;'Additional Input'!$E$11,"",IF(IF('Additional Input'!$D$44=TRUE,IF($O144=0,0,$F144/$O144),IF('Additional Input'!$F$45-'Additional Input'!$N$9&lt;=Projections!$A144,IF($F144*(1+$F$4)&lt;'Additional Input'!$D$45*IF('Additional Input'!$H$45=TRUE,(1+'Additional Input'!$D$13)^IF('Additional Input'!$K$45=TRUE,$A144,$A144-('Additional Input'!$F$45-'Additional Input'!$N$9)),1),$F144*(1+$F$4),'Additional Input'!$D$45*IF('Additional Input'!$H$45=TRUE,(1+'Additional Input'!$D$13)^IF('Additional Input'!$K$45=TRUE,$A144,$A144-('Additional Input'!$F$45-'Additional Input'!$N$9)),1)),0))&lt;$P144,$P144,IF('Additional Input'!$D$44=TRUE,IF($O144=0,0,$F144/$O144),IF('Additional Input'!$F$45-'Additional Input'!$N$9&lt;=Projections!$A144,IF($F144*(1+$F$4)&lt;'Additional Input'!$D$45*IF('Additional Input'!$H$45=TRUE,(1+'Additional Input'!$D$13)^IF('Additional Input'!$K$45=TRUE,$A144,$A144-('Additional Input'!$F$45-'Additional Input'!$N$9)),1),$F144*(1+$F$4),'Additional Input'!$D$45*IF('Additional Input'!$H$45=TRUE,(1+'Additional Input'!$D$13)^IF('Additional Input'!$K$45=TRUE,$A144,$A144-('Additional Input'!$F$45-'Additional Input'!$N$9)),1)),0)))+Adjustments!D144)</f>
        <v>0</v>
      </c>
      <c r="R144" s="656">
        <f ca="1">IF(A144&gt;'Additional Input'!$E$11,"",-((N144+Q144)*'Additional Input'!$D$12)+Adjustments!E144)</f>
        <v>0</v>
      </c>
      <c r="S144" s="656">
        <f ca="1">IF(A144&gt;'Additional Input'!$E$11,"",IF($A144&gt;='Additional Input'!$D$19,-'Additional Input'!$D$18*(1+IF('Additional Input'!$F$18=TRUE,'Additional Input'!$D$13,0))^Projections!A144,0)-TaxTables!D36+Adjustments!F144)</f>
        <v>0</v>
      </c>
      <c r="T144" s="654">
        <f ca="1">IF(A144&gt;'Additional Input'!$E$11,"",N144+Q144+R144+S144)</f>
        <v>0</v>
      </c>
    </row>
    <row r="145" spans="1:20">
      <c r="A145" s="122">
        <f t="shared" si="6"/>
        <v>6</v>
      </c>
      <c r="B145" s="110" t="str">
        <f ca="1">IF(A145&gt;'Additional Input'!$E$11,"",IF('Additional Input'!$N$9="","",'Additional Input'!$N$9+Projections!A145)&amp;"/"&amp;IF('Additional Input'!$O$9="","",IF('Additional Input'!$O$9=0,"",'Additional Input'!$O$9+Projections!A145)))</f>
        <v>66/66</v>
      </c>
      <c r="C145" s="122">
        <f ca="1">IF(A145&gt;'Additional Input'!$E$11,"",+C144+1)</f>
        <v>6</v>
      </c>
      <c r="D145" s="159">
        <f ca="1">IF(A145&gt;'Additional Input'!$E$11,"",($D144*(1+'Additional Input'!$F$26))+$N144+$Q144+$R144+$S144)</f>
        <v>18979785.277440004</v>
      </c>
      <c r="E145" s="159">
        <f ca="1">IF(A145&gt;'Additional Input'!$E$11,"",E144*(1+'Additional Input'!$F$28))</f>
        <v>0</v>
      </c>
      <c r="F145" s="159">
        <f ca="1">IF(A145&gt;'Additional Input'!$E$11,"",($F144*(1+'Additional Input'!$F$27))-$Q144+IF(('Additional Input'!$K$40)&gt;A144,'Additional Input'!$D$40*(1+IF('Additional Input'!$H$40=TRUE,'Additional Input'!$D$13,0))^A144,0)+IF(('Additional Input'!$K$40)&gt;A144,'Additional Input'!$F$40*(1+IF('Additional Input'!$H$40=TRUE,'Additional Input'!$D$13,0))^A144,0))</f>
        <v>0</v>
      </c>
      <c r="G145" s="646">
        <f ca="1">IF(A145&gt;'Additional Input'!$E$11,"",-VLOOKUP(A145*12,Amortization,2))</f>
        <v>0</v>
      </c>
      <c r="H145" s="159">
        <f ca="1">IF(A145&gt;'Additional Input'!$E$11,"",IF(A145&lt;=Calculator!$F$7,Calculator!$D$7,0)+Calculator!$D$8)</f>
        <v>0</v>
      </c>
      <c r="I145" s="159">
        <f ca="1">IF(A145&gt;'Additional Input'!$E$11,"",D145+E145+F145+G145+H145)</f>
        <v>18979785.277440004</v>
      </c>
      <c r="J145" s="646">
        <f ca="1">IF(A145&gt;'Additional Input'!$E$11,"",0)</f>
        <v>0</v>
      </c>
      <c r="K145" s="159">
        <f ca="1">IF(A145&gt;'Additional Input'!$E$11,"",0)</f>
        <v>0</v>
      </c>
      <c r="L145" s="159">
        <f ca="1">IF(A145&gt;'Additional Input'!$E$11,"",J145+K145)</f>
        <v>0</v>
      </c>
      <c r="M145" s="126">
        <f ca="1">IF(A145&gt;'Additional Input'!$E$11,"",(D145*'Additional Input'!$F$26)+(E145*'Additional Input'!$F$28)+(F145*'Additional Input'!$F$27))</f>
        <v>759191.41109760012</v>
      </c>
      <c r="N145" s="126">
        <f ca="1">IF(A145&gt;'Additional Input'!$E$11,"",IF(('Additional Input'!$K$35)&gt;Projections!A145,'Additional Input'!$D$35*(1+IF('Additional Input'!$H$35=TRUE,'Additional Input'!$D$13,0))^Projections!A145,0)+IF(('Additional Input'!$K$36)&gt;Projections!A145,'Additional Input'!$D$36*(1+IF('Additional Input'!$H$36=TRUE,'Additional Input'!$D$13,0))^Projections!A145,0)-IF(('Additional Input'!$K$40)&gt;A145,'Additional Input'!$D$40*(1+IF('Additional Input'!$H$39=TRUE,'Additional Input'!$D$13,0))^A145,0)+IF(('Additional Input'!$F$37-'Additional Input'!$N$9)&lt;=Projections!A145,'Additional Input'!$D$37*(1+IF('Additional Input'!$H$37=TRUE,'Additional Input'!$D$13,0))^IF('Additional Input'!$K$37=TRUE,Projections!A145,Projections!A145-('Additional Input'!$F$37-'Additional Input'!$N$9)),0)+Adjustments!C145)</f>
        <v>0</v>
      </c>
      <c r="O145" s="823">
        <f ca="1">IF(A145&gt;'Additional Input'!$E$11,"",IF(('Additional Input'!$N$9+Projections!$A145)&gt;=IF('Additional Input'!$K$44=TRUE,71,70),VLOOKUP(('Additional Input'!$N$9+Projections!$A145),UniformTable,2),0))</f>
        <v>0</v>
      </c>
      <c r="P145" s="822">
        <f ca="1">IF(A145&gt;'Additional Input'!$E$11,"",IF($O145=0,0,$F145/$O145))</f>
        <v>0</v>
      </c>
      <c r="Q145" s="178">
        <f ca="1">IF(A145&gt;'Additional Input'!$E$11,"",IF(IF('Additional Input'!$D$44=TRUE,IF($O145=0,0,$F145/$O145),IF('Additional Input'!$F$45-'Additional Input'!$N$9&lt;=Projections!$A145,IF($F145*(1+$F$4)&lt;'Additional Input'!$D$45*IF('Additional Input'!$H$45=TRUE,(1+'Additional Input'!$D$13)^IF('Additional Input'!$K$45=TRUE,$A145,$A145-('Additional Input'!$F$45-'Additional Input'!$N$9)),1),$F145*(1+$F$4),'Additional Input'!$D$45*IF('Additional Input'!$H$45=TRUE,(1+'Additional Input'!$D$13)^IF('Additional Input'!$K$45=TRUE,$A145,$A145-('Additional Input'!$F$45-'Additional Input'!$N$9)),1)),0))&lt;$P145,$P145,IF('Additional Input'!$D$44=TRUE,IF($O145=0,0,$F145/$O145),IF('Additional Input'!$F$45-'Additional Input'!$N$9&lt;=Projections!$A145,IF($F145*(1+$F$4)&lt;'Additional Input'!$D$45*IF('Additional Input'!$H$45=TRUE,(1+'Additional Input'!$D$13)^IF('Additional Input'!$K$45=TRUE,$A145,$A145-('Additional Input'!$F$45-'Additional Input'!$N$9)),1),$F145*(1+$F$4),'Additional Input'!$D$45*IF('Additional Input'!$H$45=TRUE,(1+'Additional Input'!$D$13)^IF('Additional Input'!$K$45=TRUE,$A145,$A145-('Additional Input'!$F$45-'Additional Input'!$N$9)),1)),0)))+Adjustments!D145)</f>
        <v>0</v>
      </c>
      <c r="R145" s="571">
        <f ca="1">IF(A145&gt;'Additional Input'!$E$11,"",-((N145+Q145)*'Additional Input'!$D$12)+Adjustments!E145)</f>
        <v>0</v>
      </c>
      <c r="S145" s="571">
        <f ca="1">IF(A145&gt;'Additional Input'!$E$11,"",IF($A145&gt;='Additional Input'!$D$19,-'Additional Input'!$D$18*(1+IF('Additional Input'!$F$18=TRUE,'Additional Input'!$D$13,0))^Projections!A145,0)-TaxTables!D37+Adjustments!F145)</f>
        <v>0</v>
      </c>
      <c r="T145" s="126">
        <f ca="1">IF(A145&gt;'Additional Input'!$E$11,"",N145+Q145+R145+S145)</f>
        <v>0</v>
      </c>
    </row>
    <row r="146" spans="1:20">
      <c r="A146" s="122">
        <f t="shared" si="6"/>
        <v>7</v>
      </c>
      <c r="B146" s="110" t="str">
        <f ca="1">IF(A146&gt;'Additional Input'!$E$11,"",IF('Additional Input'!$N$9="","",'Additional Input'!$N$9+Projections!A146)&amp;"/"&amp;IF('Additional Input'!$O$9="","",IF('Additional Input'!$O$9=0,"",'Additional Input'!$O$9+Projections!A146)))</f>
        <v>67/67</v>
      </c>
      <c r="C146" s="122">
        <f ca="1">IF(A146&gt;'Additional Input'!$E$11,"",+C145+1)</f>
        <v>7</v>
      </c>
      <c r="D146" s="159">
        <f ca="1">IF(A146&gt;'Additional Input'!$E$11,"",($D145*(1+'Additional Input'!$F$26))+$N145+$Q145+$R145+$S145)</f>
        <v>19738976.688537605</v>
      </c>
      <c r="E146" s="159">
        <f ca="1">IF(A146&gt;'Additional Input'!$E$11,"",E145*(1+'Additional Input'!$F$28))</f>
        <v>0</v>
      </c>
      <c r="F146" s="159">
        <f ca="1">IF(A146&gt;'Additional Input'!$E$11,"",($F145*(1+'Additional Input'!$F$27))-$Q145+IF(('Additional Input'!$K$40)&gt;A145,'Additional Input'!$D$40*(1+IF('Additional Input'!$H$40=TRUE,'Additional Input'!$D$13,0))^A145,0)+IF(('Additional Input'!$K$40)&gt;A145,'Additional Input'!$F$40*(1+IF('Additional Input'!$H$40=TRUE,'Additional Input'!$D$13,0))^A145,0))</f>
        <v>0</v>
      </c>
      <c r="G146" s="646">
        <f ca="1">IF(A146&gt;'Additional Input'!$E$11,"",-VLOOKUP(A146*12,Amortization,2))</f>
        <v>0</v>
      </c>
      <c r="H146" s="159">
        <f ca="1">IF(A146&gt;'Additional Input'!$E$11,"",IF(A146&lt;=Calculator!$F$7,Calculator!$D$7,0)+Calculator!$D$8)</f>
        <v>0</v>
      </c>
      <c r="I146" s="159">
        <f ca="1">IF(A146&gt;'Additional Input'!$E$11,"",D146+E146+F146+G146+H146)</f>
        <v>19738976.688537605</v>
      </c>
      <c r="J146" s="646">
        <f ca="1">IF(A146&gt;'Additional Input'!$E$11,"",0)</f>
        <v>0</v>
      </c>
      <c r="K146" s="159">
        <f ca="1">IF(A146&gt;'Additional Input'!$E$11,"",0)</f>
        <v>0</v>
      </c>
      <c r="L146" s="159">
        <f ca="1">IF(A146&gt;'Additional Input'!$E$11,"",J146+K146)</f>
        <v>0</v>
      </c>
      <c r="M146" s="126">
        <f ca="1">IF(A146&gt;'Additional Input'!$E$11,"",(D146*'Additional Input'!$F$26)+(E146*'Additional Input'!$F$28)+(F146*'Additional Input'!$F$27))</f>
        <v>789559.06754150428</v>
      </c>
      <c r="N146" s="126">
        <f ca="1">IF(A146&gt;'Additional Input'!$E$11,"",IF(('Additional Input'!$K$35)&gt;Projections!A146,'Additional Input'!$D$35*(1+IF('Additional Input'!$H$35=TRUE,'Additional Input'!$D$13,0))^Projections!A146,0)+IF(('Additional Input'!$K$36)&gt;Projections!A146,'Additional Input'!$D$36*(1+IF('Additional Input'!$H$36=TRUE,'Additional Input'!$D$13,0))^Projections!A146,0)-IF(('Additional Input'!$K$40)&gt;A146,'Additional Input'!$D$40*(1+IF('Additional Input'!$H$39=TRUE,'Additional Input'!$D$13,0))^A146,0)+IF(('Additional Input'!$F$37-'Additional Input'!$N$9)&lt;=Projections!A146,'Additional Input'!$D$37*(1+IF('Additional Input'!$H$37=TRUE,'Additional Input'!$D$13,0))^IF('Additional Input'!$K$37=TRUE,Projections!A146,Projections!A146-('Additional Input'!$F$37-'Additional Input'!$N$9)),0)+Adjustments!C146)</f>
        <v>0</v>
      </c>
      <c r="O146" s="823">
        <f ca="1">IF(A146&gt;'Additional Input'!$E$11,"",IF(('Additional Input'!$N$9+Projections!$A146)&gt;=IF('Additional Input'!$K$44=TRUE,71,70),VLOOKUP(('Additional Input'!$N$9+Projections!$A146),UniformTable,2),0))</f>
        <v>0</v>
      </c>
      <c r="P146" s="822">
        <f ca="1">IF(A146&gt;'Additional Input'!$E$11,"",IF($O146=0,0,$F146/$O146))</f>
        <v>0</v>
      </c>
      <c r="Q146" s="178">
        <f ca="1">IF(A146&gt;'Additional Input'!$E$11,"",IF(IF('Additional Input'!$D$44=TRUE,IF($O146=0,0,$F146/$O146),IF('Additional Input'!$F$45-'Additional Input'!$N$9&lt;=Projections!$A146,IF($F146*(1+$F$4)&lt;'Additional Input'!$D$45*IF('Additional Input'!$H$45=TRUE,(1+'Additional Input'!$D$13)^IF('Additional Input'!$K$45=TRUE,$A146,$A146-('Additional Input'!$F$45-'Additional Input'!$N$9)),1),$F146*(1+$F$4),'Additional Input'!$D$45*IF('Additional Input'!$H$45=TRUE,(1+'Additional Input'!$D$13)^IF('Additional Input'!$K$45=TRUE,$A146,$A146-('Additional Input'!$F$45-'Additional Input'!$N$9)),1)),0))&lt;$P146,$P146,IF('Additional Input'!$D$44=TRUE,IF($O146=0,0,$F146/$O146),IF('Additional Input'!$F$45-'Additional Input'!$N$9&lt;=Projections!$A146,IF($F146*(1+$F$4)&lt;'Additional Input'!$D$45*IF('Additional Input'!$H$45=TRUE,(1+'Additional Input'!$D$13)^IF('Additional Input'!$K$45=TRUE,$A146,$A146-('Additional Input'!$F$45-'Additional Input'!$N$9)),1),$F146*(1+$F$4),'Additional Input'!$D$45*IF('Additional Input'!$H$45=TRUE,(1+'Additional Input'!$D$13)^IF('Additional Input'!$K$45=TRUE,$A146,$A146-('Additional Input'!$F$45-'Additional Input'!$N$9)),1)),0)))+Adjustments!D146)</f>
        <v>0</v>
      </c>
      <c r="R146" s="571">
        <f ca="1">IF(A146&gt;'Additional Input'!$E$11,"",-((N146+Q146)*'Additional Input'!$D$12)+Adjustments!E146)</f>
        <v>0</v>
      </c>
      <c r="S146" s="571">
        <f ca="1">IF(A146&gt;'Additional Input'!$E$11,"",IF($A146&gt;='Additional Input'!$D$19,-'Additional Input'!$D$18*(1+IF('Additional Input'!$F$18=TRUE,'Additional Input'!$D$13,0))^Projections!A146,0)-TaxTables!D38+Adjustments!F146)</f>
        <v>0</v>
      </c>
      <c r="T146" s="126">
        <f ca="1">IF(A146&gt;'Additional Input'!$E$11,"",N146+Q146+R146+S146)</f>
        <v>0</v>
      </c>
    </row>
    <row r="147" spans="1:20">
      <c r="A147" s="122">
        <f t="shared" si="6"/>
        <v>8</v>
      </c>
      <c r="B147" s="110" t="str">
        <f ca="1">IF(A147&gt;'Additional Input'!$E$11,"",IF('Additional Input'!$N$9="","",'Additional Input'!$N$9+Projections!A147)&amp;"/"&amp;IF('Additional Input'!$O$9="","",IF('Additional Input'!$O$9=0,"",'Additional Input'!$O$9+Projections!A147)))</f>
        <v>68/68</v>
      </c>
      <c r="C147" s="122">
        <f ca="1">IF(A147&gt;'Additional Input'!$E$11,"",+C146+1)</f>
        <v>8</v>
      </c>
      <c r="D147" s="159">
        <f ca="1">IF(A147&gt;'Additional Input'!$E$11,"",($D146*(1+'Additional Input'!$F$26))+$N146+$Q146+$R146+$S146)</f>
        <v>20528535.756079111</v>
      </c>
      <c r="E147" s="159">
        <f ca="1">IF(A147&gt;'Additional Input'!$E$11,"",E146*(1+'Additional Input'!$F$28))</f>
        <v>0</v>
      </c>
      <c r="F147" s="159">
        <f ca="1">IF(A147&gt;'Additional Input'!$E$11,"",($F146*(1+'Additional Input'!$F$27))-$Q146+IF(('Additional Input'!$K$40)&gt;A146,'Additional Input'!$D$40*(1+IF('Additional Input'!$H$40=TRUE,'Additional Input'!$D$13,0))^A146,0)+IF(('Additional Input'!$K$40)&gt;A146,'Additional Input'!$F$40*(1+IF('Additional Input'!$H$40=TRUE,'Additional Input'!$D$13,0))^A146,0))</f>
        <v>0</v>
      </c>
      <c r="G147" s="646">
        <f ca="1">IF(A147&gt;'Additional Input'!$E$11,"",-VLOOKUP(A147*12,Amortization,2))</f>
        <v>0</v>
      </c>
      <c r="H147" s="159">
        <f ca="1">IF(A147&gt;'Additional Input'!$E$11,"",IF(A147&lt;=Calculator!$F$7,Calculator!$D$7,0)+Calculator!$D$8)</f>
        <v>0</v>
      </c>
      <c r="I147" s="159">
        <f ca="1">IF(A147&gt;'Additional Input'!$E$11,"",D147+E147+F147+G147+H147)</f>
        <v>20528535.756079111</v>
      </c>
      <c r="J147" s="646">
        <f ca="1">IF(A147&gt;'Additional Input'!$E$11,"",0)</f>
        <v>0</v>
      </c>
      <c r="K147" s="159">
        <f ca="1">IF(A147&gt;'Additional Input'!$E$11,"",0)</f>
        <v>0</v>
      </c>
      <c r="L147" s="159">
        <f ca="1">IF(A147&gt;'Additional Input'!$E$11,"",J147+K147)</f>
        <v>0</v>
      </c>
      <c r="M147" s="126">
        <f ca="1">IF(A147&gt;'Additional Input'!$E$11,"",(D147*'Additional Input'!$F$26)+(E147*'Additional Input'!$F$28)+(F147*'Additional Input'!$F$27))</f>
        <v>821141.43024316442</v>
      </c>
      <c r="N147" s="126">
        <f ca="1">IF(A147&gt;'Additional Input'!$E$11,"",IF(('Additional Input'!$K$35)&gt;Projections!A147,'Additional Input'!$D$35*(1+IF('Additional Input'!$H$35=TRUE,'Additional Input'!$D$13,0))^Projections!A147,0)+IF(('Additional Input'!$K$36)&gt;Projections!A147,'Additional Input'!$D$36*(1+IF('Additional Input'!$H$36=TRUE,'Additional Input'!$D$13,0))^Projections!A147,0)-IF(('Additional Input'!$K$40)&gt;A147,'Additional Input'!$D$40*(1+IF('Additional Input'!$H$39=TRUE,'Additional Input'!$D$13,0))^A147,0)+IF(('Additional Input'!$F$37-'Additional Input'!$N$9)&lt;=Projections!A147,'Additional Input'!$D$37*(1+IF('Additional Input'!$H$37=TRUE,'Additional Input'!$D$13,0))^IF('Additional Input'!$K$37=TRUE,Projections!A147,Projections!A147-('Additional Input'!$F$37-'Additional Input'!$N$9)),0)+Adjustments!C147)</f>
        <v>0</v>
      </c>
      <c r="O147" s="823">
        <f ca="1">IF(A147&gt;'Additional Input'!$E$11,"",IF(('Additional Input'!$N$9+Projections!$A147)&gt;=IF('Additional Input'!$K$44=TRUE,71,70),VLOOKUP(('Additional Input'!$N$9+Projections!$A147),UniformTable,2),0))</f>
        <v>0</v>
      </c>
      <c r="P147" s="822">
        <f ca="1">IF(A147&gt;'Additional Input'!$E$11,"",IF($O147=0,0,$F147/$O147))</f>
        <v>0</v>
      </c>
      <c r="Q147" s="178">
        <f ca="1">IF(A147&gt;'Additional Input'!$E$11,"",IF(IF('Additional Input'!$D$44=TRUE,IF($O147=0,0,$F147/$O147),IF('Additional Input'!$F$45-'Additional Input'!$N$9&lt;=Projections!$A147,IF($F147*(1+$F$4)&lt;'Additional Input'!$D$45*IF('Additional Input'!$H$45=TRUE,(1+'Additional Input'!$D$13)^IF('Additional Input'!$K$45=TRUE,$A147,$A147-('Additional Input'!$F$45-'Additional Input'!$N$9)),1),$F147*(1+$F$4),'Additional Input'!$D$45*IF('Additional Input'!$H$45=TRUE,(1+'Additional Input'!$D$13)^IF('Additional Input'!$K$45=TRUE,$A147,$A147-('Additional Input'!$F$45-'Additional Input'!$N$9)),1)),0))&lt;$P147,$P147,IF('Additional Input'!$D$44=TRUE,IF($O147=0,0,$F147/$O147),IF('Additional Input'!$F$45-'Additional Input'!$N$9&lt;=Projections!$A147,IF($F147*(1+$F$4)&lt;'Additional Input'!$D$45*IF('Additional Input'!$H$45=TRUE,(1+'Additional Input'!$D$13)^IF('Additional Input'!$K$45=TRUE,$A147,$A147-('Additional Input'!$F$45-'Additional Input'!$N$9)),1),$F147*(1+$F$4),'Additional Input'!$D$45*IF('Additional Input'!$H$45=TRUE,(1+'Additional Input'!$D$13)^IF('Additional Input'!$K$45=TRUE,$A147,$A147-('Additional Input'!$F$45-'Additional Input'!$N$9)),1)),0)))+Adjustments!D147)</f>
        <v>0</v>
      </c>
      <c r="R147" s="571">
        <f ca="1">IF(A147&gt;'Additional Input'!$E$11,"",-((N147+Q147)*'Additional Input'!$D$12)+Adjustments!E147)</f>
        <v>0</v>
      </c>
      <c r="S147" s="571">
        <f ca="1">IF(A147&gt;'Additional Input'!$E$11,"",IF($A147&gt;='Additional Input'!$D$19,-'Additional Input'!$D$18*(1+IF('Additional Input'!$F$18=TRUE,'Additional Input'!$D$13,0))^Projections!A147,0)-TaxTables!D39+Adjustments!F147)</f>
        <v>0</v>
      </c>
      <c r="T147" s="126">
        <f ca="1">IF(A147&gt;'Additional Input'!$E$11,"",N147+Q147+R147+S147)</f>
        <v>0</v>
      </c>
    </row>
    <row r="148" spans="1:20">
      <c r="A148" s="122">
        <f t="shared" si="6"/>
        <v>9</v>
      </c>
      <c r="B148" s="110" t="str">
        <f ca="1">IF(A148&gt;'Additional Input'!$E$11,"",IF('Additional Input'!$N$9="","",'Additional Input'!$N$9+Projections!A148)&amp;"/"&amp;IF('Additional Input'!$O$9="","",IF('Additional Input'!$O$9=0,"",'Additional Input'!$O$9+Projections!A148)))</f>
        <v>69/69</v>
      </c>
      <c r="C148" s="122">
        <f ca="1">IF(A148&gt;'Additional Input'!$E$11,"",+C147+1)</f>
        <v>9</v>
      </c>
      <c r="D148" s="159">
        <f ca="1">IF(A148&gt;'Additional Input'!$E$11,"",($D147*(1+'Additional Input'!$F$26))+$N147+$Q147+$R147+$S147)</f>
        <v>21349677.186322276</v>
      </c>
      <c r="E148" s="159">
        <f ca="1">IF(A148&gt;'Additional Input'!$E$11,"",E147*(1+'Additional Input'!$F$28))</f>
        <v>0</v>
      </c>
      <c r="F148" s="159">
        <f ca="1">IF(A148&gt;'Additional Input'!$E$11,"",($F147*(1+'Additional Input'!$F$27))-$Q147+IF(('Additional Input'!$K$40)&gt;A147,'Additional Input'!$D$40*(1+IF('Additional Input'!$H$40=TRUE,'Additional Input'!$D$13,0))^A147,0)+IF(('Additional Input'!$K$40)&gt;A147,'Additional Input'!$F$40*(1+IF('Additional Input'!$H$40=TRUE,'Additional Input'!$D$13,0))^A147,0))</f>
        <v>0</v>
      </c>
      <c r="G148" s="646">
        <f ca="1">IF(A148&gt;'Additional Input'!$E$11,"",-VLOOKUP(A148*12,Amortization,2))</f>
        <v>0</v>
      </c>
      <c r="H148" s="159">
        <f ca="1">IF(A148&gt;'Additional Input'!$E$11,"",IF(A148&lt;=Calculator!$F$7,Calculator!$D$7,0)+Calculator!$D$8)</f>
        <v>0</v>
      </c>
      <c r="I148" s="159">
        <f ca="1">IF(A148&gt;'Additional Input'!$E$11,"",D148+E148+F148+G148+H148)</f>
        <v>21349677.186322276</v>
      </c>
      <c r="J148" s="646">
        <f ca="1">IF(A148&gt;'Additional Input'!$E$11,"",0)</f>
        <v>0</v>
      </c>
      <c r="K148" s="159">
        <f ca="1">IF(A148&gt;'Additional Input'!$E$11,"",0)</f>
        <v>0</v>
      </c>
      <c r="L148" s="159">
        <f ca="1">IF(A148&gt;'Additional Input'!$E$11,"",J148+K148)</f>
        <v>0</v>
      </c>
      <c r="M148" s="126">
        <f ca="1">IF(A148&gt;'Additional Input'!$E$11,"",(D148*'Additional Input'!$F$26)+(E148*'Additional Input'!$F$28)+(F148*'Additional Input'!$F$27))</f>
        <v>853987.08745289105</v>
      </c>
      <c r="N148" s="126">
        <f ca="1">IF(A148&gt;'Additional Input'!$E$11,"",IF(('Additional Input'!$K$35)&gt;Projections!A148,'Additional Input'!$D$35*(1+IF('Additional Input'!$H$35=TRUE,'Additional Input'!$D$13,0))^Projections!A148,0)+IF(('Additional Input'!$K$36)&gt;Projections!A148,'Additional Input'!$D$36*(1+IF('Additional Input'!$H$36=TRUE,'Additional Input'!$D$13,0))^Projections!A148,0)-IF(('Additional Input'!$K$40)&gt;A148,'Additional Input'!$D$40*(1+IF('Additional Input'!$H$39=TRUE,'Additional Input'!$D$13,0))^A148,0)+IF(('Additional Input'!$F$37-'Additional Input'!$N$9)&lt;=Projections!A148,'Additional Input'!$D$37*(1+IF('Additional Input'!$H$37=TRUE,'Additional Input'!$D$13,0))^IF('Additional Input'!$K$37=TRUE,Projections!A148,Projections!A148-('Additional Input'!$F$37-'Additional Input'!$N$9)),0)+Adjustments!C148)</f>
        <v>0</v>
      </c>
      <c r="O148" s="823">
        <f ca="1">IF(A148&gt;'Additional Input'!$E$11,"",IF(('Additional Input'!$N$9+Projections!$A148)&gt;=IF('Additional Input'!$K$44=TRUE,71,70),VLOOKUP(('Additional Input'!$N$9+Projections!$A148),UniformTable,2),0))</f>
        <v>0</v>
      </c>
      <c r="P148" s="822">
        <f ca="1">IF(A148&gt;'Additional Input'!$E$11,"",IF($O148=0,0,$F148/$O148))</f>
        <v>0</v>
      </c>
      <c r="Q148" s="178">
        <f ca="1">IF(A148&gt;'Additional Input'!$E$11,"",IF(IF('Additional Input'!$D$44=TRUE,IF($O148=0,0,$F148/$O148),IF('Additional Input'!$F$45-'Additional Input'!$N$9&lt;=Projections!$A148,IF($F148*(1+$F$4)&lt;'Additional Input'!$D$45*IF('Additional Input'!$H$45=TRUE,(1+'Additional Input'!$D$13)^IF('Additional Input'!$K$45=TRUE,$A148,$A148-('Additional Input'!$F$45-'Additional Input'!$N$9)),1),$F148*(1+$F$4),'Additional Input'!$D$45*IF('Additional Input'!$H$45=TRUE,(1+'Additional Input'!$D$13)^IF('Additional Input'!$K$45=TRUE,$A148,$A148-('Additional Input'!$F$45-'Additional Input'!$N$9)),1)),0))&lt;$P148,$P148,IF('Additional Input'!$D$44=TRUE,IF($O148=0,0,$F148/$O148),IF('Additional Input'!$F$45-'Additional Input'!$N$9&lt;=Projections!$A148,IF($F148*(1+$F$4)&lt;'Additional Input'!$D$45*IF('Additional Input'!$H$45=TRUE,(1+'Additional Input'!$D$13)^IF('Additional Input'!$K$45=TRUE,$A148,$A148-('Additional Input'!$F$45-'Additional Input'!$N$9)),1),$F148*(1+$F$4),'Additional Input'!$D$45*IF('Additional Input'!$H$45=TRUE,(1+'Additional Input'!$D$13)^IF('Additional Input'!$K$45=TRUE,$A148,$A148-('Additional Input'!$F$45-'Additional Input'!$N$9)),1)),0)))+Adjustments!D148)</f>
        <v>0</v>
      </c>
      <c r="R148" s="571">
        <f ca="1">IF(A148&gt;'Additional Input'!$E$11,"",-((N148+Q148)*'Additional Input'!$D$12)+Adjustments!E148)</f>
        <v>0</v>
      </c>
      <c r="S148" s="571">
        <f ca="1">IF(A148&gt;'Additional Input'!$E$11,"",IF($A148&gt;='Additional Input'!$D$19,-'Additional Input'!$D$18*(1+IF('Additional Input'!$F$18=TRUE,'Additional Input'!$D$13,0))^Projections!A148,0)-TaxTables!D40+Adjustments!F148)</f>
        <v>0</v>
      </c>
      <c r="T148" s="126">
        <f ca="1">IF(A148&gt;'Additional Input'!$E$11,"",N148+Q148+R148+S148)</f>
        <v>0</v>
      </c>
    </row>
    <row r="149" spans="1:20">
      <c r="A149" s="650">
        <f t="shared" si="6"/>
        <v>10</v>
      </c>
      <c r="B149" s="651" t="str">
        <f ca="1">IF(A149&gt;'Additional Input'!$E$11,"",IF('Additional Input'!$N$9="","",'Additional Input'!$N$9+Projections!A149)&amp;"/"&amp;IF('Additional Input'!$O$9="","",IF('Additional Input'!$O$9=0,"",'Additional Input'!$O$9+Projections!A149)))</f>
        <v>70/70</v>
      </c>
      <c r="C149" s="650">
        <f ca="1">IF(A149&gt;'Additional Input'!$E$11,"",+C148+1)</f>
        <v>10</v>
      </c>
      <c r="D149" s="721">
        <f ca="1">IF(A149&gt;'Additional Input'!$E$11,"",($D148*(1+'Additional Input'!$F$26))+$N148+$Q148+$R148+$S148)</f>
        <v>22203664.273775168</v>
      </c>
      <c r="E149" s="653">
        <f ca="1">IF(A149&gt;'Additional Input'!$E$11,"",E148*(1+'Additional Input'!$F$28))</f>
        <v>0</v>
      </c>
      <c r="F149" s="653">
        <f ca="1">IF(A149&gt;'Additional Input'!$E$11,"",($F148*(1+'Additional Input'!$F$27))-$Q148+IF(('Additional Input'!$K$40)&gt;A148,'Additional Input'!$D$40*(1+IF('Additional Input'!$H$40=TRUE,'Additional Input'!$D$13,0))^A148,0)+IF(('Additional Input'!$K$40)&gt;A148,'Additional Input'!$F$40*(1+IF('Additional Input'!$H$40=TRUE,'Additional Input'!$D$13,0))^A148,0))</f>
        <v>0</v>
      </c>
      <c r="G149" s="853">
        <f ca="1">IF(A149&gt;'Additional Input'!$E$11,"",-VLOOKUP(A149*12,Amortization,2))</f>
        <v>0</v>
      </c>
      <c r="H149" s="721">
        <f ca="1">IF(A149&gt;'Additional Input'!$E$11,"",IF(A149&lt;=Calculator!$F$7,Calculator!$D$7,0)+Calculator!$D$8)</f>
        <v>0</v>
      </c>
      <c r="I149" s="652">
        <f ca="1">IF(A149&gt;'Additional Input'!$E$11,"",D149+E149+F149+G149+H149)</f>
        <v>22203664.273775168</v>
      </c>
      <c r="J149" s="720">
        <f ca="1">IF(A149&gt;'Additional Input'!$E$11,"",0)</f>
        <v>0</v>
      </c>
      <c r="K149" s="721">
        <f ca="1">IF(A149&gt;'Additional Input'!$E$11,"",0)</f>
        <v>0</v>
      </c>
      <c r="L149" s="652">
        <f ca="1">IF(A149&gt;'Additional Input'!$E$11,"",J149+K149)</f>
        <v>0</v>
      </c>
      <c r="M149" s="654">
        <f ca="1">IF(A149&gt;'Additional Input'!$E$11,"",(D149*'Additional Input'!$F$26)+(E149*'Additional Input'!$F$28)+(F149*'Additional Input'!$F$27))</f>
        <v>888146.57095100672</v>
      </c>
      <c r="N149" s="655">
        <f ca="1">IF(A149&gt;'Additional Input'!$E$11,"",IF(('Additional Input'!$K$35)&gt;Projections!A149,'Additional Input'!$D$35*(1+IF('Additional Input'!$H$35=TRUE,'Additional Input'!$D$13,0))^Projections!A149,0)+IF(('Additional Input'!$K$36)&gt;Projections!A149,'Additional Input'!$D$36*(1+IF('Additional Input'!$H$36=TRUE,'Additional Input'!$D$13,0))^Projections!A149,0)-IF(('Additional Input'!$K$40)&gt;A149,'Additional Input'!$D$40*(1+IF('Additional Input'!$H$39=TRUE,'Additional Input'!$D$13,0))^A149,0)+IF(('Additional Input'!$F$37-'Additional Input'!$N$9)&lt;=Projections!A149,'Additional Input'!$D$37*(1+IF('Additional Input'!$H$37=TRUE,'Additional Input'!$D$13,0))^IF('Additional Input'!$K$37=TRUE,Projections!A149,Projections!A149-('Additional Input'!$F$37-'Additional Input'!$N$9)),0)+Adjustments!C149)</f>
        <v>0</v>
      </c>
      <c r="O149" s="824">
        <f ca="1">IF(A149&gt;'Additional Input'!$E$11,"",IF(('Additional Input'!$N$9+Projections!$A149)&gt;=IF('Additional Input'!$K$44=TRUE,71,70),VLOOKUP(('Additional Input'!$N$9+Projections!$A149),UniformTable,2),0))</f>
        <v>27.4</v>
      </c>
      <c r="P149" s="825">
        <f ca="1">IF(A149&gt;'Additional Input'!$E$11,"",IF($O149=0,0,$F149/$O149))</f>
        <v>0</v>
      </c>
      <c r="Q149" s="655">
        <f ca="1">IF(A149&gt;'Additional Input'!$E$11,"",IF(IF('Additional Input'!$D$44=TRUE,IF($O149=0,0,$F149/$O149),IF('Additional Input'!$F$45-'Additional Input'!$N$9&lt;=Projections!$A149,IF($F149*(1+$F$4)&lt;'Additional Input'!$D$45*IF('Additional Input'!$H$45=TRUE,(1+'Additional Input'!$D$13)^IF('Additional Input'!$K$45=TRUE,$A149,$A149-('Additional Input'!$F$45-'Additional Input'!$N$9)),1),$F149*(1+$F$4),'Additional Input'!$D$45*IF('Additional Input'!$H$45=TRUE,(1+'Additional Input'!$D$13)^IF('Additional Input'!$K$45=TRUE,$A149,$A149-('Additional Input'!$F$45-'Additional Input'!$N$9)),1)),0))&lt;$P149,$P149,IF('Additional Input'!$D$44=TRUE,IF($O149=0,0,$F149/$O149),IF('Additional Input'!$F$45-'Additional Input'!$N$9&lt;=Projections!$A149,IF($F149*(1+$F$4)&lt;'Additional Input'!$D$45*IF('Additional Input'!$H$45=TRUE,(1+'Additional Input'!$D$13)^IF('Additional Input'!$K$45=TRUE,$A149,$A149-('Additional Input'!$F$45-'Additional Input'!$N$9)),1),$F149*(1+$F$4),'Additional Input'!$D$45*IF('Additional Input'!$H$45=TRUE,(1+'Additional Input'!$D$13)^IF('Additional Input'!$K$45=TRUE,$A149,$A149-('Additional Input'!$F$45-'Additional Input'!$N$9)),1)),0)))+Adjustments!D149)</f>
        <v>0</v>
      </c>
      <c r="R149" s="656">
        <f ca="1">IF(A149&gt;'Additional Input'!$E$11,"",-((N149+Q149)*'Additional Input'!$D$12)+Adjustments!E149)</f>
        <v>0</v>
      </c>
      <c r="S149" s="656">
        <f ca="1">IF(A149&gt;'Additional Input'!$E$11,"",IF($A149&gt;='Additional Input'!$D$19,-'Additional Input'!$D$18*(1+IF('Additional Input'!$F$18=TRUE,'Additional Input'!$D$13,0))^Projections!A149,0)-TaxTables!D41+Adjustments!F149)</f>
        <v>0</v>
      </c>
      <c r="T149" s="654">
        <f ca="1">IF(A149&gt;'Additional Input'!$E$11,"",N149+Q149+R149+S149)</f>
        <v>0</v>
      </c>
    </row>
    <row r="150" spans="1:20">
      <c r="A150" s="122">
        <f t="shared" si="6"/>
        <v>11</v>
      </c>
      <c r="B150" s="110" t="str">
        <f ca="1">IF(A150&gt;'Additional Input'!$E$11,"",IF('Additional Input'!$N$9="","",'Additional Input'!$N$9+Projections!A150)&amp;"/"&amp;IF('Additional Input'!$O$9="","",IF('Additional Input'!$O$9=0,"",'Additional Input'!$O$9+Projections!A150)))</f>
        <v>71/71</v>
      </c>
      <c r="C150" s="122">
        <f ca="1">IF(A150&gt;'Additional Input'!$E$11,"",+C149+1)</f>
        <v>11</v>
      </c>
      <c r="D150" s="159">
        <f ca="1">IF(A150&gt;'Additional Input'!$E$11,"",($D149*(1+'Additional Input'!$F$26))+$N149+$Q149+$R149+$S149)</f>
        <v>23091810.844726175</v>
      </c>
      <c r="E150" s="159">
        <f ca="1">IF(A150&gt;'Additional Input'!$E$11,"",E149*(1+'Additional Input'!$F$28))</f>
        <v>0</v>
      </c>
      <c r="F150" s="159">
        <f ca="1">IF(A150&gt;'Additional Input'!$E$11,"",($F149*(1+'Additional Input'!$F$27))-$Q149+IF(('Additional Input'!$K$40)&gt;A149,'Additional Input'!$D$40*(1+IF('Additional Input'!$H$40=TRUE,'Additional Input'!$D$13,0))^A149,0)+IF(('Additional Input'!$K$40)&gt;A149,'Additional Input'!$F$40*(1+IF('Additional Input'!$H$40=TRUE,'Additional Input'!$D$13,0))^A149,0))</f>
        <v>0</v>
      </c>
      <c r="G150" s="646">
        <f ca="1">IF(A150&gt;'Additional Input'!$E$11,"",-VLOOKUP(A150*12,Amortization,2))</f>
        <v>0</v>
      </c>
      <c r="H150" s="159">
        <f ca="1">IF(A150&gt;'Additional Input'!$E$11,"",IF(A150&lt;=Calculator!$F$7,Calculator!$D$7,0)+Calculator!$D$8)</f>
        <v>0</v>
      </c>
      <c r="I150" s="159">
        <f ca="1">IF(A150&gt;'Additional Input'!$E$11,"",D150+E150+F150+G150+H150)</f>
        <v>23091810.844726175</v>
      </c>
      <c r="J150" s="646">
        <f ca="1">IF(A150&gt;'Additional Input'!$E$11,"",0)</f>
        <v>0</v>
      </c>
      <c r="K150" s="159">
        <f ca="1">IF(A150&gt;'Additional Input'!$E$11,"",0)</f>
        <v>0</v>
      </c>
      <c r="L150" s="159">
        <f ca="1">IF(A150&gt;'Additional Input'!$E$11,"",J150+K150)</f>
        <v>0</v>
      </c>
      <c r="M150" s="126">
        <f ca="1">IF(A150&gt;'Additional Input'!$E$11,"",(D150*'Additional Input'!$F$26)+(E150*'Additional Input'!$F$28)+(F150*'Additional Input'!$F$27))</f>
        <v>923672.43378904706</v>
      </c>
      <c r="N150" s="126">
        <f ca="1">IF(A150&gt;'Additional Input'!$E$11,"",IF(('Additional Input'!$K$35)&gt;Projections!A150,'Additional Input'!$D$35*(1+IF('Additional Input'!$H$35=TRUE,'Additional Input'!$D$13,0))^Projections!A150,0)+IF(('Additional Input'!$K$36)&gt;Projections!A150,'Additional Input'!$D$36*(1+IF('Additional Input'!$H$36=TRUE,'Additional Input'!$D$13,0))^Projections!A150,0)-IF(('Additional Input'!$K$40)&gt;A150,'Additional Input'!$D$40*(1+IF('Additional Input'!$H$39=TRUE,'Additional Input'!$D$13,0))^A150,0)+IF(('Additional Input'!$F$37-'Additional Input'!$N$9)&lt;=Projections!A150,'Additional Input'!$D$37*(1+IF('Additional Input'!$H$37=TRUE,'Additional Input'!$D$13,0))^IF('Additional Input'!$K$37=TRUE,Projections!A150,Projections!A150-('Additional Input'!$F$37-'Additional Input'!$N$9)),0)+Adjustments!C150)</f>
        <v>0</v>
      </c>
      <c r="O150" s="823">
        <f ca="1">IF(A150&gt;'Additional Input'!$E$11,"",IF(('Additional Input'!$N$9+Projections!$A150)&gt;=IF('Additional Input'!$K$44=TRUE,71,70),VLOOKUP(('Additional Input'!$N$9+Projections!$A150),UniformTable,2),0))</f>
        <v>26.5</v>
      </c>
      <c r="P150" s="822">
        <f ca="1">IF(A150&gt;'Additional Input'!$E$11,"",IF($O150=0,0,$F150/$O150))</f>
        <v>0</v>
      </c>
      <c r="Q150" s="178">
        <f ca="1">IF(A150&gt;'Additional Input'!$E$11,"",IF(IF('Additional Input'!$D$44=TRUE,IF($O150=0,0,$F150/$O150),IF('Additional Input'!$F$45-'Additional Input'!$N$9&lt;=Projections!$A150,IF($F150*(1+$F$4)&lt;'Additional Input'!$D$45*IF('Additional Input'!$H$45=TRUE,(1+'Additional Input'!$D$13)^IF('Additional Input'!$K$45=TRUE,$A150,$A150-('Additional Input'!$F$45-'Additional Input'!$N$9)),1),$F150*(1+$F$4),'Additional Input'!$D$45*IF('Additional Input'!$H$45=TRUE,(1+'Additional Input'!$D$13)^IF('Additional Input'!$K$45=TRUE,$A150,$A150-('Additional Input'!$F$45-'Additional Input'!$N$9)),1)),0))&lt;$P150,$P150,IF('Additional Input'!$D$44=TRUE,IF($O150=0,0,$F150/$O150),IF('Additional Input'!$F$45-'Additional Input'!$N$9&lt;=Projections!$A150,IF($F150*(1+$F$4)&lt;'Additional Input'!$D$45*IF('Additional Input'!$H$45=TRUE,(1+'Additional Input'!$D$13)^IF('Additional Input'!$K$45=TRUE,$A150,$A150-('Additional Input'!$F$45-'Additional Input'!$N$9)),1),$F150*(1+$F$4),'Additional Input'!$D$45*IF('Additional Input'!$H$45=TRUE,(1+'Additional Input'!$D$13)^IF('Additional Input'!$K$45=TRUE,$A150,$A150-('Additional Input'!$F$45-'Additional Input'!$N$9)),1)),0)))+Adjustments!D150)</f>
        <v>0</v>
      </c>
      <c r="R150" s="571">
        <f ca="1">IF(A150&gt;'Additional Input'!$E$11,"",-((N150+Q150)*'Additional Input'!$D$12)+Adjustments!E150)</f>
        <v>0</v>
      </c>
      <c r="S150" s="571">
        <f ca="1">IF(A150&gt;'Additional Input'!$E$11,"",IF($A150&gt;='Additional Input'!$D$19,-'Additional Input'!$D$18*(1+IF('Additional Input'!$F$18=TRUE,'Additional Input'!$D$13,0))^Projections!A150,0)-TaxTables!D42+Adjustments!F150)</f>
        <v>0</v>
      </c>
      <c r="T150" s="126">
        <f ca="1">IF(A150&gt;'Additional Input'!$E$11,"",N150+Q150+R150+S150)</f>
        <v>0</v>
      </c>
    </row>
    <row r="151" spans="1:20">
      <c r="A151" s="122">
        <f t="shared" si="6"/>
        <v>12</v>
      </c>
      <c r="B151" s="110" t="str">
        <f ca="1">IF(A151&gt;'Additional Input'!$E$11,"",IF('Additional Input'!$N$9="","",'Additional Input'!$N$9+Projections!A151)&amp;"/"&amp;IF('Additional Input'!$O$9="","",IF('Additional Input'!$O$9=0,"",'Additional Input'!$O$9+Projections!A151)))</f>
        <v>72/72</v>
      </c>
      <c r="C151" s="122">
        <f ca="1">IF(A151&gt;'Additional Input'!$E$11,"",+C150+1)</f>
        <v>12</v>
      </c>
      <c r="D151" s="159">
        <f ca="1">IF(A151&gt;'Additional Input'!$E$11,"",($D150*(1+'Additional Input'!$F$26))+$N150+$Q150+$R150+$S150)</f>
        <v>24015483.278515223</v>
      </c>
      <c r="E151" s="159">
        <f ca="1">IF(A151&gt;'Additional Input'!$E$11,"",E150*(1+'Additional Input'!$F$28))</f>
        <v>0</v>
      </c>
      <c r="F151" s="159">
        <f ca="1">IF(A151&gt;'Additional Input'!$E$11,"",($F150*(1+'Additional Input'!$F$27))-$Q150+IF(('Additional Input'!$K$40)&gt;A150,'Additional Input'!$D$40*(1+IF('Additional Input'!$H$40=TRUE,'Additional Input'!$D$13,0))^A150,0)+IF(('Additional Input'!$K$40)&gt;A150,'Additional Input'!$F$40*(1+IF('Additional Input'!$H$40=TRUE,'Additional Input'!$D$13,0))^A150,0))</f>
        <v>0</v>
      </c>
      <c r="G151" s="646">
        <f ca="1">IF(A151&gt;'Additional Input'!$E$11,"",-VLOOKUP(A151*12,Amortization,2))</f>
        <v>0</v>
      </c>
      <c r="H151" s="159">
        <f ca="1">IF(A151&gt;'Additional Input'!$E$11,"",IF(A151&lt;=Calculator!$F$7,Calculator!$D$7,0)+Calculator!$D$8)</f>
        <v>0</v>
      </c>
      <c r="I151" s="159">
        <f ca="1">IF(A151&gt;'Additional Input'!$E$11,"",D151+E151+F151+G151+H151)</f>
        <v>24015483.278515223</v>
      </c>
      <c r="J151" s="646">
        <f ca="1">IF(A151&gt;'Additional Input'!$E$11,"",0)</f>
        <v>0</v>
      </c>
      <c r="K151" s="159">
        <f ca="1">IF(A151&gt;'Additional Input'!$E$11,"",0)</f>
        <v>0</v>
      </c>
      <c r="L151" s="159">
        <f ca="1">IF(A151&gt;'Additional Input'!$E$11,"",J151+K151)</f>
        <v>0</v>
      </c>
      <c r="M151" s="126">
        <f ca="1">IF(A151&gt;'Additional Input'!$E$11,"",(D151*'Additional Input'!$F$26)+(E151*'Additional Input'!$F$28)+(F151*'Additional Input'!$F$27))</f>
        <v>960619.33114060899</v>
      </c>
      <c r="N151" s="126">
        <f ca="1">IF(A151&gt;'Additional Input'!$E$11,"",IF(('Additional Input'!$K$35)&gt;Projections!A151,'Additional Input'!$D$35*(1+IF('Additional Input'!$H$35=TRUE,'Additional Input'!$D$13,0))^Projections!A151,0)+IF(('Additional Input'!$K$36)&gt;Projections!A151,'Additional Input'!$D$36*(1+IF('Additional Input'!$H$36=TRUE,'Additional Input'!$D$13,0))^Projections!A151,0)-IF(('Additional Input'!$K$40)&gt;A151,'Additional Input'!$D$40*(1+IF('Additional Input'!$H$39=TRUE,'Additional Input'!$D$13,0))^A151,0)+IF(('Additional Input'!$F$37-'Additional Input'!$N$9)&lt;=Projections!A151,'Additional Input'!$D$37*(1+IF('Additional Input'!$H$37=TRUE,'Additional Input'!$D$13,0))^IF('Additional Input'!$K$37=TRUE,Projections!A151,Projections!A151-('Additional Input'!$F$37-'Additional Input'!$N$9)),0)+Adjustments!C151)</f>
        <v>0</v>
      </c>
      <c r="O151" s="823">
        <f ca="1">IF(A151&gt;'Additional Input'!$E$11,"",IF(('Additional Input'!$N$9+Projections!$A151)&gt;=IF('Additional Input'!$K$44=TRUE,71,70),VLOOKUP(('Additional Input'!$N$9+Projections!$A151),UniformTable,2),0))</f>
        <v>25.6</v>
      </c>
      <c r="P151" s="822">
        <f ca="1">IF(A151&gt;'Additional Input'!$E$11,"",IF($O151=0,0,$F151/$O151))</f>
        <v>0</v>
      </c>
      <c r="Q151" s="178">
        <f ca="1">IF(A151&gt;'Additional Input'!$E$11,"",IF(IF('Additional Input'!$D$44=TRUE,IF($O151=0,0,$F151/$O151),IF('Additional Input'!$F$45-'Additional Input'!$N$9&lt;=Projections!$A151,IF($F151*(1+$F$4)&lt;'Additional Input'!$D$45*IF('Additional Input'!$H$45=TRUE,(1+'Additional Input'!$D$13)^IF('Additional Input'!$K$45=TRUE,$A151,$A151-('Additional Input'!$F$45-'Additional Input'!$N$9)),1),$F151*(1+$F$4),'Additional Input'!$D$45*IF('Additional Input'!$H$45=TRUE,(1+'Additional Input'!$D$13)^IF('Additional Input'!$K$45=TRUE,$A151,$A151-('Additional Input'!$F$45-'Additional Input'!$N$9)),1)),0))&lt;$P151,$P151,IF('Additional Input'!$D$44=TRUE,IF($O151=0,0,$F151/$O151),IF('Additional Input'!$F$45-'Additional Input'!$N$9&lt;=Projections!$A151,IF($F151*(1+$F$4)&lt;'Additional Input'!$D$45*IF('Additional Input'!$H$45=TRUE,(1+'Additional Input'!$D$13)^IF('Additional Input'!$K$45=TRUE,$A151,$A151-('Additional Input'!$F$45-'Additional Input'!$N$9)),1),$F151*(1+$F$4),'Additional Input'!$D$45*IF('Additional Input'!$H$45=TRUE,(1+'Additional Input'!$D$13)^IF('Additional Input'!$K$45=TRUE,$A151,$A151-('Additional Input'!$F$45-'Additional Input'!$N$9)),1)),0)))+Adjustments!D151)</f>
        <v>0</v>
      </c>
      <c r="R151" s="571">
        <f ca="1">IF(A151&gt;'Additional Input'!$E$11,"",-((N151+Q151)*'Additional Input'!$D$12)+Adjustments!E151)</f>
        <v>0</v>
      </c>
      <c r="S151" s="571">
        <f ca="1">IF(A151&gt;'Additional Input'!$E$11,"",IF($A151&gt;='Additional Input'!$D$19,-'Additional Input'!$D$18*(1+IF('Additional Input'!$F$18=TRUE,'Additional Input'!$D$13,0))^Projections!A151,0)-TaxTables!D43+Adjustments!F151)</f>
        <v>0</v>
      </c>
      <c r="T151" s="126">
        <f ca="1">IF(A151&gt;'Additional Input'!$E$11,"",N151+Q151+R151+S151)</f>
        <v>0</v>
      </c>
    </row>
    <row r="152" spans="1:20">
      <c r="A152" s="122">
        <f t="shared" si="6"/>
        <v>13</v>
      </c>
      <c r="B152" s="110" t="str">
        <f ca="1">IF(A152&gt;'Additional Input'!$E$11,"",IF('Additional Input'!$N$9="","",'Additional Input'!$N$9+Projections!A152)&amp;"/"&amp;IF('Additional Input'!$O$9="","",IF('Additional Input'!$O$9=0,"",'Additional Input'!$O$9+Projections!A152)))</f>
        <v>73/73</v>
      </c>
      <c r="C152" s="122">
        <f ca="1">IF(A152&gt;'Additional Input'!$E$11,"",+C151+1)</f>
        <v>13</v>
      </c>
      <c r="D152" s="159">
        <f ca="1">IF(A152&gt;'Additional Input'!$E$11,"",($D151*(1+'Additional Input'!$F$26))+$N151+$Q151+$R151+$S151)</f>
        <v>24976102.609655835</v>
      </c>
      <c r="E152" s="159">
        <f ca="1">IF(A152&gt;'Additional Input'!$E$11,"",E151*(1+'Additional Input'!$F$28))</f>
        <v>0</v>
      </c>
      <c r="F152" s="159">
        <f ca="1">IF(A152&gt;'Additional Input'!$E$11,"",($F151*(1+'Additional Input'!$F$27))-$Q151+IF(('Additional Input'!$K$40)&gt;A151,'Additional Input'!$D$40*(1+IF('Additional Input'!$H$40=TRUE,'Additional Input'!$D$13,0))^A151,0)+IF(('Additional Input'!$K$40)&gt;A151,'Additional Input'!$F$40*(1+IF('Additional Input'!$H$40=TRUE,'Additional Input'!$D$13,0))^A151,0))</f>
        <v>0</v>
      </c>
      <c r="G152" s="646">
        <f ca="1">IF(A152&gt;'Additional Input'!$E$11,"",-VLOOKUP(A152*12,Amortization,2))</f>
        <v>0</v>
      </c>
      <c r="H152" s="159">
        <f ca="1">IF(A152&gt;'Additional Input'!$E$11,"",IF(A152&lt;=Calculator!$F$7,Calculator!$D$7,0)+Calculator!$D$8)</f>
        <v>0</v>
      </c>
      <c r="I152" s="159">
        <f ca="1">IF(A152&gt;'Additional Input'!$E$11,"",D152+E152+F152+G152+H152)</f>
        <v>24976102.609655835</v>
      </c>
      <c r="J152" s="646">
        <f ca="1">IF(A152&gt;'Additional Input'!$E$11,"",0)</f>
        <v>0</v>
      </c>
      <c r="K152" s="159">
        <f ca="1">IF(A152&gt;'Additional Input'!$E$11,"",0)</f>
        <v>0</v>
      </c>
      <c r="L152" s="159">
        <f ca="1">IF(A152&gt;'Additional Input'!$E$11,"",J152+K152)</f>
        <v>0</v>
      </c>
      <c r="M152" s="126">
        <f ca="1">IF(A152&gt;'Additional Input'!$E$11,"",(D152*'Additional Input'!$F$26)+(E152*'Additional Input'!$F$28)+(F152*'Additional Input'!$F$27))</f>
        <v>999044.10438623338</v>
      </c>
      <c r="N152" s="126">
        <f ca="1">IF(A152&gt;'Additional Input'!$E$11,"",IF(('Additional Input'!$K$35)&gt;Projections!A152,'Additional Input'!$D$35*(1+IF('Additional Input'!$H$35=TRUE,'Additional Input'!$D$13,0))^Projections!A152,0)+IF(('Additional Input'!$K$36)&gt;Projections!A152,'Additional Input'!$D$36*(1+IF('Additional Input'!$H$36=TRUE,'Additional Input'!$D$13,0))^Projections!A152,0)-IF(('Additional Input'!$K$40)&gt;A152,'Additional Input'!$D$40*(1+IF('Additional Input'!$H$39=TRUE,'Additional Input'!$D$13,0))^A152,0)+IF(('Additional Input'!$F$37-'Additional Input'!$N$9)&lt;=Projections!A152,'Additional Input'!$D$37*(1+IF('Additional Input'!$H$37=TRUE,'Additional Input'!$D$13,0))^IF('Additional Input'!$K$37=TRUE,Projections!A152,Projections!A152-('Additional Input'!$F$37-'Additional Input'!$N$9)),0)+Adjustments!C152)</f>
        <v>0</v>
      </c>
      <c r="O152" s="823">
        <f ca="1">IF(A152&gt;'Additional Input'!$E$11,"",IF(('Additional Input'!$N$9+Projections!$A152)&gt;=IF('Additional Input'!$K$44=TRUE,71,70),VLOOKUP(('Additional Input'!$N$9+Projections!$A152),UniformTable,2),0))</f>
        <v>24.7</v>
      </c>
      <c r="P152" s="822">
        <f ca="1">IF(A152&gt;'Additional Input'!$E$11,"",IF($O152=0,0,$F152/$O152))</f>
        <v>0</v>
      </c>
      <c r="Q152" s="178">
        <f ca="1">IF(A152&gt;'Additional Input'!$E$11,"",IF(IF('Additional Input'!$D$44=TRUE,IF($O152=0,0,$F152/$O152),IF('Additional Input'!$F$45-'Additional Input'!$N$9&lt;=Projections!$A152,IF($F152*(1+$F$4)&lt;'Additional Input'!$D$45*IF('Additional Input'!$H$45=TRUE,(1+'Additional Input'!$D$13)^IF('Additional Input'!$K$45=TRUE,$A152,$A152-('Additional Input'!$F$45-'Additional Input'!$N$9)),1),$F152*(1+$F$4),'Additional Input'!$D$45*IF('Additional Input'!$H$45=TRUE,(1+'Additional Input'!$D$13)^IF('Additional Input'!$K$45=TRUE,$A152,$A152-('Additional Input'!$F$45-'Additional Input'!$N$9)),1)),0))&lt;$P152,$P152,IF('Additional Input'!$D$44=TRUE,IF($O152=0,0,$F152/$O152),IF('Additional Input'!$F$45-'Additional Input'!$N$9&lt;=Projections!$A152,IF($F152*(1+$F$4)&lt;'Additional Input'!$D$45*IF('Additional Input'!$H$45=TRUE,(1+'Additional Input'!$D$13)^IF('Additional Input'!$K$45=TRUE,$A152,$A152-('Additional Input'!$F$45-'Additional Input'!$N$9)),1),$F152*(1+$F$4),'Additional Input'!$D$45*IF('Additional Input'!$H$45=TRUE,(1+'Additional Input'!$D$13)^IF('Additional Input'!$K$45=TRUE,$A152,$A152-('Additional Input'!$F$45-'Additional Input'!$N$9)),1)),0)))+Adjustments!D152)</f>
        <v>0</v>
      </c>
      <c r="R152" s="571">
        <f ca="1">IF(A152&gt;'Additional Input'!$E$11,"",-((N152+Q152)*'Additional Input'!$D$12)+Adjustments!E152)</f>
        <v>0</v>
      </c>
      <c r="S152" s="571">
        <f ca="1">IF(A152&gt;'Additional Input'!$E$11,"",IF($A152&gt;='Additional Input'!$D$19,-'Additional Input'!$D$18*(1+IF('Additional Input'!$F$18=TRUE,'Additional Input'!$D$13,0))^Projections!A152,0)-TaxTables!D44+Adjustments!F152)</f>
        <v>0</v>
      </c>
      <c r="T152" s="126">
        <f ca="1">IF(A152&gt;'Additional Input'!$E$11,"",N152+Q152+R152+S152)</f>
        <v>0</v>
      </c>
    </row>
    <row r="153" spans="1:20">
      <c r="A153" s="122">
        <f t="shared" si="6"/>
        <v>14</v>
      </c>
      <c r="B153" s="110" t="str">
        <f ca="1">IF(A153&gt;'Additional Input'!$E$11,"",IF('Additional Input'!$N$9="","",'Additional Input'!$N$9+Projections!A153)&amp;"/"&amp;IF('Additional Input'!$O$9="","",IF('Additional Input'!$O$9=0,"",'Additional Input'!$O$9+Projections!A153)))</f>
        <v>74/74</v>
      </c>
      <c r="C153" s="122">
        <f ca="1">IF(A153&gt;'Additional Input'!$E$11,"",+C152+1)</f>
        <v>14</v>
      </c>
      <c r="D153" s="159">
        <f ca="1">IF(A153&gt;'Additional Input'!$E$11,"",($D152*(1+'Additional Input'!$F$26))+$N152+$Q152+$R152+$S152)</f>
        <v>25975146.714042068</v>
      </c>
      <c r="E153" s="159">
        <f ca="1">IF(A153&gt;'Additional Input'!$E$11,"",E152*(1+'Additional Input'!$F$28))</f>
        <v>0</v>
      </c>
      <c r="F153" s="159">
        <f ca="1">IF(A153&gt;'Additional Input'!$E$11,"",($F152*(1+'Additional Input'!$F$27))-$Q152+IF(('Additional Input'!$K$40)&gt;A152,'Additional Input'!$D$40*(1+IF('Additional Input'!$H$40=TRUE,'Additional Input'!$D$13,0))^A152,0)+IF(('Additional Input'!$K$40)&gt;A152,'Additional Input'!$F$40*(1+IF('Additional Input'!$H$40=TRUE,'Additional Input'!$D$13,0))^A152,0))</f>
        <v>0</v>
      </c>
      <c r="G153" s="646">
        <f ca="1">IF(A153&gt;'Additional Input'!$E$11,"",-VLOOKUP(A153*12,Amortization,2))</f>
        <v>0</v>
      </c>
      <c r="H153" s="159">
        <f ca="1">IF(A153&gt;'Additional Input'!$E$11,"",IF(A153&lt;=Calculator!$F$7,Calculator!$D$7,0)+Calculator!$D$8)</f>
        <v>0</v>
      </c>
      <c r="I153" s="159">
        <f ca="1">IF(A153&gt;'Additional Input'!$E$11,"",D153+E153+F153+G153+H153)</f>
        <v>25975146.714042068</v>
      </c>
      <c r="J153" s="646">
        <f ca="1">IF(A153&gt;'Additional Input'!$E$11,"",0)</f>
        <v>0</v>
      </c>
      <c r="K153" s="159">
        <f ca="1">IF(A153&gt;'Additional Input'!$E$11,"",0)</f>
        <v>0</v>
      </c>
      <c r="L153" s="159">
        <f ca="1">IF(A153&gt;'Additional Input'!$E$11,"",J153+K153)</f>
        <v>0</v>
      </c>
      <c r="M153" s="126">
        <f ca="1">IF(A153&gt;'Additional Input'!$E$11,"",(D153*'Additional Input'!$F$26)+(E153*'Additional Input'!$F$28)+(F153*'Additional Input'!$F$27))</f>
        <v>1039005.8685616828</v>
      </c>
      <c r="N153" s="126">
        <f ca="1">IF(A153&gt;'Additional Input'!$E$11,"",IF(('Additional Input'!$K$35)&gt;Projections!A153,'Additional Input'!$D$35*(1+IF('Additional Input'!$H$35=TRUE,'Additional Input'!$D$13,0))^Projections!A153,0)+IF(('Additional Input'!$K$36)&gt;Projections!A153,'Additional Input'!$D$36*(1+IF('Additional Input'!$H$36=TRUE,'Additional Input'!$D$13,0))^Projections!A153,0)-IF(('Additional Input'!$K$40)&gt;A153,'Additional Input'!$D$40*(1+IF('Additional Input'!$H$39=TRUE,'Additional Input'!$D$13,0))^A153,0)+IF(('Additional Input'!$F$37-'Additional Input'!$N$9)&lt;=Projections!A153,'Additional Input'!$D$37*(1+IF('Additional Input'!$H$37=TRUE,'Additional Input'!$D$13,0))^IF('Additional Input'!$K$37=TRUE,Projections!A153,Projections!A153-('Additional Input'!$F$37-'Additional Input'!$N$9)),0)+Adjustments!C153)</f>
        <v>0</v>
      </c>
      <c r="O153" s="823">
        <f ca="1">IF(A153&gt;'Additional Input'!$E$11,"",IF(('Additional Input'!$N$9+Projections!$A153)&gt;=IF('Additional Input'!$K$44=TRUE,71,70),VLOOKUP(('Additional Input'!$N$9+Projections!$A153),UniformTable,2),0))</f>
        <v>23.8</v>
      </c>
      <c r="P153" s="822">
        <f ca="1">IF(A153&gt;'Additional Input'!$E$11,"",IF($O153=0,0,$F153/$O153))</f>
        <v>0</v>
      </c>
      <c r="Q153" s="178">
        <f ca="1">IF(A153&gt;'Additional Input'!$E$11,"",IF(IF('Additional Input'!$D$44=TRUE,IF($O153=0,0,$F153/$O153),IF('Additional Input'!$F$45-'Additional Input'!$N$9&lt;=Projections!$A153,IF($F153*(1+$F$4)&lt;'Additional Input'!$D$45*IF('Additional Input'!$H$45=TRUE,(1+'Additional Input'!$D$13)^IF('Additional Input'!$K$45=TRUE,$A153,$A153-('Additional Input'!$F$45-'Additional Input'!$N$9)),1),$F153*(1+$F$4),'Additional Input'!$D$45*IF('Additional Input'!$H$45=TRUE,(1+'Additional Input'!$D$13)^IF('Additional Input'!$K$45=TRUE,$A153,$A153-('Additional Input'!$F$45-'Additional Input'!$N$9)),1)),0))&lt;$P153,$P153,IF('Additional Input'!$D$44=TRUE,IF($O153=0,0,$F153/$O153),IF('Additional Input'!$F$45-'Additional Input'!$N$9&lt;=Projections!$A153,IF($F153*(1+$F$4)&lt;'Additional Input'!$D$45*IF('Additional Input'!$H$45=TRUE,(1+'Additional Input'!$D$13)^IF('Additional Input'!$K$45=TRUE,$A153,$A153-('Additional Input'!$F$45-'Additional Input'!$N$9)),1),$F153*(1+$F$4),'Additional Input'!$D$45*IF('Additional Input'!$H$45=TRUE,(1+'Additional Input'!$D$13)^IF('Additional Input'!$K$45=TRUE,$A153,$A153-('Additional Input'!$F$45-'Additional Input'!$N$9)),1)),0)))+Adjustments!D153)</f>
        <v>0</v>
      </c>
      <c r="R153" s="571">
        <f ca="1">IF(A153&gt;'Additional Input'!$E$11,"",-((N153+Q153)*'Additional Input'!$D$12)+Adjustments!E153)</f>
        <v>0</v>
      </c>
      <c r="S153" s="571">
        <f ca="1">IF(A153&gt;'Additional Input'!$E$11,"",IF($A153&gt;='Additional Input'!$D$19,-'Additional Input'!$D$18*(1+IF('Additional Input'!$F$18=TRUE,'Additional Input'!$D$13,0))^Projections!A153,0)-TaxTables!D45+Adjustments!F153)</f>
        <v>0</v>
      </c>
      <c r="T153" s="126">
        <f ca="1">IF(A153&gt;'Additional Input'!$E$11,"",N153+Q153+R153+S153)</f>
        <v>0</v>
      </c>
    </row>
    <row r="154" spans="1:20">
      <c r="A154" s="657">
        <f t="shared" si="6"/>
        <v>15</v>
      </c>
      <c r="B154" s="651" t="str">
        <f ca="1">IF(A154&gt;'Additional Input'!$E$11,"",IF('Additional Input'!$N$9="","",'Additional Input'!$N$9+Projections!A154)&amp;"/"&amp;IF('Additional Input'!$O$9="","",IF('Additional Input'!$O$9=0,"",'Additional Input'!$O$9+Projections!A154)))</f>
        <v>75/75</v>
      </c>
      <c r="C154" s="650">
        <f ca="1">IF(A154&gt;'Additional Input'!$E$11,"",+C153+1)</f>
        <v>15</v>
      </c>
      <c r="D154" s="721">
        <f ca="1">IF(A154&gt;'Additional Input'!$E$11,"",($D153*(1+'Additional Input'!$F$26))+$N153+$Q153+$R153+$S153)</f>
        <v>27014152.582603753</v>
      </c>
      <c r="E154" s="653">
        <f ca="1">IF(A154&gt;'Additional Input'!$E$11,"",E153*(1+'Additional Input'!$F$28))</f>
        <v>0</v>
      </c>
      <c r="F154" s="653">
        <f ca="1">IF(A154&gt;'Additional Input'!$E$11,"",($F153*(1+'Additional Input'!$F$27))-$Q153+IF(('Additional Input'!$K$40)&gt;A153,'Additional Input'!$D$40*(1+IF('Additional Input'!$H$40=TRUE,'Additional Input'!$D$13,0))^A153,0)+IF(('Additional Input'!$K$40)&gt;A153,'Additional Input'!$F$40*(1+IF('Additional Input'!$H$40=TRUE,'Additional Input'!$D$13,0))^A153,0))</f>
        <v>0</v>
      </c>
      <c r="G154" s="853">
        <f ca="1">IF(A154&gt;'Additional Input'!$E$11,"",-VLOOKUP(A154*12,Amortization,2))</f>
        <v>0</v>
      </c>
      <c r="H154" s="721">
        <f ca="1">IF(A154&gt;'Additional Input'!$E$11,"",IF(A154&lt;=Calculator!$F$7,Calculator!$D$7,0)+Calculator!$D$8)</f>
        <v>0</v>
      </c>
      <c r="I154" s="652">
        <f ca="1">IF(A154&gt;'Additional Input'!$E$11,"",D154+E154+F154+G154+H154)</f>
        <v>27014152.582603753</v>
      </c>
      <c r="J154" s="720">
        <f ca="1">IF(A154&gt;'Additional Input'!$E$11,"",0)</f>
        <v>0</v>
      </c>
      <c r="K154" s="721">
        <f ca="1">IF(A154&gt;'Additional Input'!$E$11,"",0)</f>
        <v>0</v>
      </c>
      <c r="L154" s="652">
        <f ca="1">IF(A154&gt;'Additional Input'!$E$11,"",J154+K154)</f>
        <v>0</v>
      </c>
      <c r="M154" s="654">
        <f ca="1">IF(A154&gt;'Additional Input'!$E$11,"",(D154*'Additional Input'!$F$26)+(E154*'Additional Input'!$F$28)+(F154*'Additional Input'!$F$27))</f>
        <v>1080566.10330415</v>
      </c>
      <c r="N154" s="655">
        <f ca="1">IF(A154&gt;'Additional Input'!$E$11,"",IF(('Additional Input'!$K$35)&gt;Projections!A154,'Additional Input'!$D$35*(1+IF('Additional Input'!$H$35=TRUE,'Additional Input'!$D$13,0))^Projections!A154,0)+IF(('Additional Input'!$K$36)&gt;Projections!A154,'Additional Input'!$D$36*(1+IF('Additional Input'!$H$36=TRUE,'Additional Input'!$D$13,0))^Projections!A154,0)-IF(('Additional Input'!$K$40)&gt;A154,'Additional Input'!$D$40*(1+IF('Additional Input'!$H$39=TRUE,'Additional Input'!$D$13,0))^A154,0)+IF(('Additional Input'!$F$37-'Additional Input'!$N$9)&lt;=Projections!A154,'Additional Input'!$D$37*(1+IF('Additional Input'!$H$37=TRUE,'Additional Input'!$D$13,0))^IF('Additional Input'!$K$37=TRUE,Projections!A154,Projections!A154-('Additional Input'!$F$37-'Additional Input'!$N$9)),0)+Adjustments!C154)</f>
        <v>0</v>
      </c>
      <c r="O154" s="824">
        <f ca="1">IF(A154&gt;'Additional Input'!$E$11,"",IF(('Additional Input'!$N$9+Projections!$A154)&gt;=IF('Additional Input'!$K$44=TRUE,71,70),VLOOKUP(('Additional Input'!$N$9+Projections!$A154),UniformTable,2),0))</f>
        <v>22.9</v>
      </c>
      <c r="P154" s="825">
        <f ca="1">IF(A154&gt;'Additional Input'!$E$11,"",IF($O154=0,0,$F154/$O154))</f>
        <v>0</v>
      </c>
      <c r="Q154" s="655">
        <f ca="1">IF(A154&gt;'Additional Input'!$E$11,"",IF(IF('Additional Input'!$D$44=TRUE,IF($O154=0,0,$F154/$O154),IF('Additional Input'!$F$45-'Additional Input'!$N$9&lt;=Projections!$A154,IF($F154*(1+$F$4)&lt;'Additional Input'!$D$45*IF('Additional Input'!$H$45=TRUE,(1+'Additional Input'!$D$13)^IF('Additional Input'!$K$45=TRUE,$A154,$A154-('Additional Input'!$F$45-'Additional Input'!$N$9)),1),$F154*(1+$F$4),'Additional Input'!$D$45*IF('Additional Input'!$H$45=TRUE,(1+'Additional Input'!$D$13)^IF('Additional Input'!$K$45=TRUE,$A154,$A154-('Additional Input'!$F$45-'Additional Input'!$N$9)),1)),0))&lt;$P154,$P154,IF('Additional Input'!$D$44=TRUE,IF($O154=0,0,$F154/$O154),IF('Additional Input'!$F$45-'Additional Input'!$N$9&lt;=Projections!$A154,IF($F154*(1+$F$4)&lt;'Additional Input'!$D$45*IF('Additional Input'!$H$45=TRUE,(1+'Additional Input'!$D$13)^IF('Additional Input'!$K$45=TRUE,$A154,$A154-('Additional Input'!$F$45-'Additional Input'!$N$9)),1),$F154*(1+$F$4),'Additional Input'!$D$45*IF('Additional Input'!$H$45=TRUE,(1+'Additional Input'!$D$13)^IF('Additional Input'!$K$45=TRUE,$A154,$A154-('Additional Input'!$F$45-'Additional Input'!$N$9)),1)),0)))+Adjustments!D154)</f>
        <v>0</v>
      </c>
      <c r="R154" s="656">
        <f ca="1">IF(A154&gt;'Additional Input'!$E$11,"",-((N154+Q154)*'Additional Input'!$D$12)+Adjustments!E154)</f>
        <v>0</v>
      </c>
      <c r="S154" s="656">
        <f ca="1">IF(A154&gt;'Additional Input'!$E$11,"",IF($A154&gt;='Additional Input'!$D$19,-'Additional Input'!$D$18*(1+IF('Additional Input'!$F$18=TRUE,'Additional Input'!$D$13,0))^Projections!A154,0)-TaxTables!D46+Adjustments!F154)</f>
        <v>0</v>
      </c>
      <c r="T154" s="654">
        <f ca="1">IF(A154&gt;'Additional Input'!$E$11,"",N154+Q154+R154+S154)</f>
        <v>0</v>
      </c>
    </row>
    <row r="155" spans="1:20">
      <c r="A155" s="122">
        <f t="shared" si="6"/>
        <v>16</v>
      </c>
      <c r="B155" s="110" t="str">
        <f ca="1">IF(A155&gt;'Additional Input'!$E$11,"",IF('Additional Input'!$N$9="","",'Additional Input'!$N$9+Projections!A155)&amp;"/"&amp;IF('Additional Input'!$O$9="","",IF('Additional Input'!$O$9=0,"",'Additional Input'!$O$9+Projections!A155)))</f>
        <v>76/76</v>
      </c>
      <c r="C155" s="122">
        <f ca="1">IF(A155&gt;'Additional Input'!$E$11,"",+C154+1)</f>
        <v>16</v>
      </c>
      <c r="D155" s="159">
        <f ca="1">IF(A155&gt;'Additional Input'!$E$11,"",($D154*(1+'Additional Input'!$F$26))+$N154+$Q154+$R154+$S154)</f>
        <v>28094718.685907904</v>
      </c>
      <c r="E155" s="159">
        <f ca="1">IF(A155&gt;'Additional Input'!$E$11,"",E154*(1+'Additional Input'!$F$28))</f>
        <v>0</v>
      </c>
      <c r="F155" s="159">
        <f ca="1">IF(A155&gt;'Additional Input'!$E$11,"",($F154*(1+'Additional Input'!$F$27))-$Q154+IF(('Additional Input'!$K$40)&gt;A154,'Additional Input'!$D$40*(1+IF('Additional Input'!$H$40=TRUE,'Additional Input'!$D$13,0))^A154,0)+IF(('Additional Input'!$K$40)&gt;A154,'Additional Input'!$F$40*(1+IF('Additional Input'!$H$40=TRUE,'Additional Input'!$D$13,0))^A154,0))</f>
        <v>0</v>
      </c>
      <c r="G155" s="646">
        <f ca="1">IF(A155&gt;'Additional Input'!$E$11,"",-VLOOKUP(A155*12,Amortization,2))</f>
        <v>0</v>
      </c>
      <c r="H155" s="159">
        <f ca="1">IF(A155&gt;'Additional Input'!$E$11,"",IF(A155&lt;=Calculator!$F$7,Calculator!$D$7,0)+Calculator!$D$8)</f>
        <v>0</v>
      </c>
      <c r="I155" s="159">
        <f ca="1">IF(A155&gt;'Additional Input'!$E$11,"",D155+E155+F155+G155+H155)</f>
        <v>28094718.685907904</v>
      </c>
      <c r="J155" s="646">
        <f ca="1">IF(A155&gt;'Additional Input'!$E$11,"",0)</f>
        <v>0</v>
      </c>
      <c r="K155" s="159">
        <f ca="1">IF(A155&gt;'Additional Input'!$E$11,"",0)</f>
        <v>0</v>
      </c>
      <c r="L155" s="159">
        <f ca="1">IF(A155&gt;'Additional Input'!$E$11,"",J155+K155)</f>
        <v>0</v>
      </c>
      <c r="M155" s="126">
        <f ca="1">IF(A155&gt;'Additional Input'!$E$11,"",(D155*'Additional Input'!$F$26)+(E155*'Additional Input'!$F$28)+(F155*'Additional Input'!$F$27))</f>
        <v>1123788.7474363162</v>
      </c>
      <c r="N155" s="126">
        <f ca="1">IF(A155&gt;'Additional Input'!$E$11,"",IF(('Additional Input'!$K$35)&gt;Projections!A155,'Additional Input'!$D$35*(1+IF('Additional Input'!$H$35=TRUE,'Additional Input'!$D$13,0))^Projections!A155,0)+IF(('Additional Input'!$K$36)&gt;Projections!A155,'Additional Input'!$D$36*(1+IF('Additional Input'!$H$36=TRUE,'Additional Input'!$D$13,0))^Projections!A155,0)-IF(('Additional Input'!$K$40)&gt;A155,'Additional Input'!$D$40*(1+IF('Additional Input'!$H$39=TRUE,'Additional Input'!$D$13,0))^A155,0)+IF(('Additional Input'!$F$37-'Additional Input'!$N$9)&lt;=Projections!A155,'Additional Input'!$D$37*(1+IF('Additional Input'!$H$37=TRUE,'Additional Input'!$D$13,0))^IF('Additional Input'!$K$37=TRUE,Projections!A155,Projections!A155-('Additional Input'!$F$37-'Additional Input'!$N$9)),0)+Adjustments!C155)</f>
        <v>0</v>
      </c>
      <c r="O155" s="823">
        <f ca="1">IF(A155&gt;'Additional Input'!$E$11,"",IF(('Additional Input'!$N$9+Projections!$A155)&gt;=IF('Additional Input'!$K$44=TRUE,71,70),VLOOKUP(('Additional Input'!$N$9+Projections!$A155),UniformTable,2),0))</f>
        <v>22</v>
      </c>
      <c r="P155" s="822">
        <f ca="1">IF(A155&gt;'Additional Input'!$E$11,"",IF($O155=0,0,$F155/$O155))</f>
        <v>0</v>
      </c>
      <c r="Q155" s="178">
        <f ca="1">IF(A155&gt;'Additional Input'!$E$11,"",IF(IF('Additional Input'!$D$44=TRUE,IF($O155=0,0,$F155/$O155),IF('Additional Input'!$F$45-'Additional Input'!$N$9&lt;=Projections!$A155,IF($F155*(1+$F$4)&lt;'Additional Input'!$D$45*IF('Additional Input'!$H$45=TRUE,(1+'Additional Input'!$D$13)^IF('Additional Input'!$K$45=TRUE,$A155,$A155-('Additional Input'!$F$45-'Additional Input'!$N$9)),1),$F155*(1+$F$4),'Additional Input'!$D$45*IF('Additional Input'!$H$45=TRUE,(1+'Additional Input'!$D$13)^IF('Additional Input'!$K$45=TRUE,$A155,$A155-('Additional Input'!$F$45-'Additional Input'!$N$9)),1)),0))&lt;$P155,$P155,IF('Additional Input'!$D$44=TRUE,IF($O155=0,0,$F155/$O155),IF('Additional Input'!$F$45-'Additional Input'!$N$9&lt;=Projections!$A155,IF($F155*(1+$F$4)&lt;'Additional Input'!$D$45*IF('Additional Input'!$H$45=TRUE,(1+'Additional Input'!$D$13)^IF('Additional Input'!$K$45=TRUE,$A155,$A155-('Additional Input'!$F$45-'Additional Input'!$N$9)),1),$F155*(1+$F$4),'Additional Input'!$D$45*IF('Additional Input'!$H$45=TRUE,(1+'Additional Input'!$D$13)^IF('Additional Input'!$K$45=TRUE,$A155,$A155-('Additional Input'!$F$45-'Additional Input'!$N$9)),1)),0)))+Adjustments!D155)</f>
        <v>0</v>
      </c>
      <c r="R155" s="571">
        <f ca="1">IF(A155&gt;'Additional Input'!$E$11,"",-((N155+Q155)*'Additional Input'!$D$12)+Adjustments!E155)</f>
        <v>0</v>
      </c>
      <c r="S155" s="571">
        <f ca="1">IF(A155&gt;'Additional Input'!$E$11,"",IF($A155&gt;='Additional Input'!$D$19,-'Additional Input'!$D$18*(1+IF('Additional Input'!$F$18=TRUE,'Additional Input'!$D$13,0))^Projections!A155,0)-TaxTables!D47+Adjustments!F155)</f>
        <v>0</v>
      </c>
      <c r="T155" s="126">
        <f ca="1">IF(A155&gt;'Additional Input'!$E$11,"",N155+Q155+R155+S155)</f>
        <v>0</v>
      </c>
    </row>
    <row r="156" spans="1:20">
      <c r="A156" s="122">
        <f t="shared" si="6"/>
        <v>17</v>
      </c>
      <c r="B156" s="110" t="str">
        <f ca="1">IF(A156&gt;'Additional Input'!$E$11,"",IF('Additional Input'!$N$9="","",'Additional Input'!$N$9+Projections!A156)&amp;"/"&amp;IF('Additional Input'!$O$9="","",IF('Additional Input'!$O$9=0,"",'Additional Input'!$O$9+Projections!A156)))</f>
        <v>77/77</v>
      </c>
      <c r="C156" s="122">
        <f ca="1">IF(A156&gt;'Additional Input'!$E$11,"",+C155+1)</f>
        <v>17</v>
      </c>
      <c r="D156" s="159">
        <f ca="1">IF(A156&gt;'Additional Input'!$E$11,"",($D155*(1+'Additional Input'!$F$26))+$N155+$Q155+$R155+$S155)</f>
        <v>29218507.433344223</v>
      </c>
      <c r="E156" s="159">
        <f ca="1">IF(A156&gt;'Additional Input'!$E$11,"",E155*(1+'Additional Input'!$F$28))</f>
        <v>0</v>
      </c>
      <c r="F156" s="159">
        <f ca="1">IF(A156&gt;'Additional Input'!$E$11,"",($F155*(1+'Additional Input'!$F$27))-$Q155+IF(('Additional Input'!$K$40)&gt;A155,'Additional Input'!$D$40*(1+IF('Additional Input'!$H$40=TRUE,'Additional Input'!$D$13,0))^A155,0)+IF(('Additional Input'!$K$40)&gt;A155,'Additional Input'!$F$40*(1+IF('Additional Input'!$H$40=TRUE,'Additional Input'!$D$13,0))^A155,0))</f>
        <v>0</v>
      </c>
      <c r="G156" s="646">
        <f ca="1">IF(A156&gt;'Additional Input'!$E$11,"",-VLOOKUP(A156*12,Amortization,2))</f>
        <v>0</v>
      </c>
      <c r="H156" s="159">
        <f ca="1">IF(A156&gt;'Additional Input'!$E$11,"",IF(A156&lt;=Calculator!$F$7,Calculator!$D$7,0)+Calculator!$D$8)</f>
        <v>0</v>
      </c>
      <c r="I156" s="159">
        <f ca="1">IF(A156&gt;'Additional Input'!$E$11,"",D156+E156+F156+G156+H156)</f>
        <v>29218507.433344223</v>
      </c>
      <c r="J156" s="646">
        <f ca="1">IF(A156&gt;'Additional Input'!$E$11,"",0)</f>
        <v>0</v>
      </c>
      <c r="K156" s="159">
        <f ca="1">IF(A156&gt;'Additional Input'!$E$11,"",0)</f>
        <v>0</v>
      </c>
      <c r="L156" s="159">
        <f ca="1">IF(A156&gt;'Additional Input'!$E$11,"",J156+K156)</f>
        <v>0</v>
      </c>
      <c r="M156" s="126">
        <f ca="1">IF(A156&gt;'Additional Input'!$E$11,"",(D156*'Additional Input'!$F$26)+(E156*'Additional Input'!$F$28)+(F156*'Additional Input'!$F$27))</f>
        <v>1168740.297333769</v>
      </c>
      <c r="N156" s="126">
        <f ca="1">IF(A156&gt;'Additional Input'!$E$11,"",IF(('Additional Input'!$K$35)&gt;Projections!A156,'Additional Input'!$D$35*(1+IF('Additional Input'!$H$35=TRUE,'Additional Input'!$D$13,0))^Projections!A156,0)+IF(('Additional Input'!$K$36)&gt;Projections!A156,'Additional Input'!$D$36*(1+IF('Additional Input'!$H$36=TRUE,'Additional Input'!$D$13,0))^Projections!A156,0)-IF(('Additional Input'!$K$40)&gt;A156,'Additional Input'!$D$40*(1+IF('Additional Input'!$H$39=TRUE,'Additional Input'!$D$13,0))^A156,0)+IF(('Additional Input'!$F$37-'Additional Input'!$N$9)&lt;=Projections!A156,'Additional Input'!$D$37*(1+IF('Additional Input'!$H$37=TRUE,'Additional Input'!$D$13,0))^IF('Additional Input'!$K$37=TRUE,Projections!A156,Projections!A156-('Additional Input'!$F$37-'Additional Input'!$N$9)),0)+Adjustments!C156)</f>
        <v>0</v>
      </c>
      <c r="O156" s="823">
        <f ca="1">IF(A156&gt;'Additional Input'!$E$11,"",IF(('Additional Input'!$N$9+Projections!$A156)&gt;=IF('Additional Input'!$K$44=TRUE,71,70),VLOOKUP(('Additional Input'!$N$9+Projections!$A156),UniformTable,2),0))</f>
        <v>21.2</v>
      </c>
      <c r="P156" s="822">
        <f ca="1">IF(A156&gt;'Additional Input'!$E$11,"",IF($O156=0,0,$F156/$O156))</f>
        <v>0</v>
      </c>
      <c r="Q156" s="178">
        <f ca="1">IF(A156&gt;'Additional Input'!$E$11,"",IF(IF('Additional Input'!$D$44=TRUE,IF($O156=0,0,$F156/$O156),IF('Additional Input'!$F$45-'Additional Input'!$N$9&lt;=Projections!$A156,IF($F156*(1+$F$4)&lt;'Additional Input'!$D$45*IF('Additional Input'!$H$45=TRUE,(1+'Additional Input'!$D$13)^IF('Additional Input'!$K$45=TRUE,$A156,$A156-('Additional Input'!$F$45-'Additional Input'!$N$9)),1),$F156*(1+$F$4),'Additional Input'!$D$45*IF('Additional Input'!$H$45=TRUE,(1+'Additional Input'!$D$13)^IF('Additional Input'!$K$45=TRUE,$A156,$A156-('Additional Input'!$F$45-'Additional Input'!$N$9)),1)),0))&lt;$P156,$P156,IF('Additional Input'!$D$44=TRUE,IF($O156=0,0,$F156/$O156),IF('Additional Input'!$F$45-'Additional Input'!$N$9&lt;=Projections!$A156,IF($F156*(1+$F$4)&lt;'Additional Input'!$D$45*IF('Additional Input'!$H$45=TRUE,(1+'Additional Input'!$D$13)^IF('Additional Input'!$K$45=TRUE,$A156,$A156-('Additional Input'!$F$45-'Additional Input'!$N$9)),1),$F156*(1+$F$4),'Additional Input'!$D$45*IF('Additional Input'!$H$45=TRUE,(1+'Additional Input'!$D$13)^IF('Additional Input'!$K$45=TRUE,$A156,$A156-('Additional Input'!$F$45-'Additional Input'!$N$9)),1)),0)))+Adjustments!D156)</f>
        <v>0</v>
      </c>
      <c r="R156" s="571">
        <f ca="1">IF(A156&gt;'Additional Input'!$E$11,"",-((N156+Q156)*'Additional Input'!$D$12)+Adjustments!E156)</f>
        <v>0</v>
      </c>
      <c r="S156" s="571">
        <f ca="1">IF(A156&gt;'Additional Input'!$E$11,"",IF($A156&gt;='Additional Input'!$D$19,-'Additional Input'!$D$18*(1+IF('Additional Input'!$F$18=TRUE,'Additional Input'!$D$13,0))^Projections!A156,0)-TaxTables!D48+Adjustments!F156)</f>
        <v>0</v>
      </c>
      <c r="T156" s="126">
        <f ca="1">IF(A156&gt;'Additional Input'!$E$11,"",N156+Q156+R156+S156)</f>
        <v>0</v>
      </c>
    </row>
    <row r="157" spans="1:20">
      <c r="A157" s="122">
        <f t="shared" si="6"/>
        <v>18</v>
      </c>
      <c r="B157" s="110" t="str">
        <f ca="1">IF(A157&gt;'Additional Input'!$E$11,"",IF('Additional Input'!$N$9="","",'Additional Input'!$N$9+Projections!A157)&amp;"/"&amp;IF('Additional Input'!$O$9="","",IF('Additional Input'!$O$9=0,"",'Additional Input'!$O$9+Projections!A157)))</f>
        <v>78/78</v>
      </c>
      <c r="C157" s="122">
        <f ca="1">IF(A157&gt;'Additional Input'!$E$11,"",+C156+1)</f>
        <v>18</v>
      </c>
      <c r="D157" s="159">
        <f ca="1">IF(A157&gt;'Additional Input'!$E$11,"",($D156*(1+'Additional Input'!$F$26))+$N156+$Q156+$R156+$S156)</f>
        <v>30387247.730677992</v>
      </c>
      <c r="E157" s="159">
        <f ca="1">IF(A157&gt;'Additional Input'!$E$11,"",E156*(1+'Additional Input'!$F$28))</f>
        <v>0</v>
      </c>
      <c r="F157" s="159">
        <f ca="1">IF(A157&gt;'Additional Input'!$E$11,"",($F156*(1+'Additional Input'!$F$27))-$Q156+IF(('Additional Input'!$K$40)&gt;A156,'Additional Input'!$D$40*(1+IF('Additional Input'!$H$40=TRUE,'Additional Input'!$D$13,0))^A156,0)+IF(('Additional Input'!$K$40)&gt;A156,'Additional Input'!$F$40*(1+IF('Additional Input'!$H$40=TRUE,'Additional Input'!$D$13,0))^A156,0))</f>
        <v>0</v>
      </c>
      <c r="G157" s="646">
        <f ca="1">IF(A157&gt;'Additional Input'!$E$11,"",-VLOOKUP(A157*12,Amortization,2))</f>
        <v>0</v>
      </c>
      <c r="H157" s="159">
        <f ca="1">IF(A157&gt;'Additional Input'!$E$11,"",IF(A157&lt;=Calculator!$F$7,Calculator!$D$7,0)+Calculator!$D$8)</f>
        <v>0</v>
      </c>
      <c r="I157" s="159">
        <f ca="1">IF(A157&gt;'Additional Input'!$E$11,"",D157+E157+F157+G157+H157)</f>
        <v>30387247.730677992</v>
      </c>
      <c r="J157" s="646">
        <f ca="1">IF(A157&gt;'Additional Input'!$E$11,"",0)</f>
        <v>0</v>
      </c>
      <c r="K157" s="159">
        <f ca="1">IF(A157&gt;'Additional Input'!$E$11,"",0)</f>
        <v>0</v>
      </c>
      <c r="L157" s="159">
        <f ca="1">IF(A157&gt;'Additional Input'!$E$11,"",J157+K157)</f>
        <v>0</v>
      </c>
      <c r="M157" s="126">
        <f ca="1">IF(A157&gt;'Additional Input'!$E$11,"",(D157*'Additional Input'!$F$26)+(E157*'Additional Input'!$F$28)+(F157*'Additional Input'!$F$27))</f>
        <v>1215489.9092271198</v>
      </c>
      <c r="N157" s="126">
        <f ca="1">IF(A157&gt;'Additional Input'!$E$11,"",IF(('Additional Input'!$K$35)&gt;Projections!A157,'Additional Input'!$D$35*(1+IF('Additional Input'!$H$35=TRUE,'Additional Input'!$D$13,0))^Projections!A157,0)+IF(('Additional Input'!$K$36)&gt;Projections!A157,'Additional Input'!$D$36*(1+IF('Additional Input'!$H$36=TRUE,'Additional Input'!$D$13,0))^Projections!A157,0)-IF(('Additional Input'!$K$40)&gt;A157,'Additional Input'!$D$40*(1+IF('Additional Input'!$H$39=TRUE,'Additional Input'!$D$13,0))^A157,0)+IF(('Additional Input'!$F$37-'Additional Input'!$N$9)&lt;=Projections!A157,'Additional Input'!$D$37*(1+IF('Additional Input'!$H$37=TRUE,'Additional Input'!$D$13,0))^IF('Additional Input'!$K$37=TRUE,Projections!A157,Projections!A157-('Additional Input'!$F$37-'Additional Input'!$N$9)),0)+Adjustments!C157)</f>
        <v>0</v>
      </c>
      <c r="O157" s="823">
        <f ca="1">IF(A157&gt;'Additional Input'!$E$11,"",IF(('Additional Input'!$N$9+Projections!$A157)&gt;=IF('Additional Input'!$K$44=TRUE,71,70),VLOOKUP(('Additional Input'!$N$9+Projections!$A157),UniformTable,2),0))</f>
        <v>20.3</v>
      </c>
      <c r="P157" s="822">
        <f ca="1">IF(A157&gt;'Additional Input'!$E$11,"",IF($O157=0,0,$F157/$O157))</f>
        <v>0</v>
      </c>
      <c r="Q157" s="178">
        <f ca="1">IF(A157&gt;'Additional Input'!$E$11,"",IF(IF('Additional Input'!$D$44=TRUE,IF($O157=0,0,$F157/$O157),IF('Additional Input'!$F$45-'Additional Input'!$N$9&lt;=Projections!$A157,IF($F157*(1+$F$4)&lt;'Additional Input'!$D$45*IF('Additional Input'!$H$45=TRUE,(1+'Additional Input'!$D$13)^IF('Additional Input'!$K$45=TRUE,$A157,$A157-('Additional Input'!$F$45-'Additional Input'!$N$9)),1),$F157*(1+$F$4),'Additional Input'!$D$45*IF('Additional Input'!$H$45=TRUE,(1+'Additional Input'!$D$13)^IF('Additional Input'!$K$45=TRUE,$A157,$A157-('Additional Input'!$F$45-'Additional Input'!$N$9)),1)),0))&lt;$P157,$P157,IF('Additional Input'!$D$44=TRUE,IF($O157=0,0,$F157/$O157),IF('Additional Input'!$F$45-'Additional Input'!$N$9&lt;=Projections!$A157,IF($F157*(1+$F$4)&lt;'Additional Input'!$D$45*IF('Additional Input'!$H$45=TRUE,(1+'Additional Input'!$D$13)^IF('Additional Input'!$K$45=TRUE,$A157,$A157-('Additional Input'!$F$45-'Additional Input'!$N$9)),1),$F157*(1+$F$4),'Additional Input'!$D$45*IF('Additional Input'!$H$45=TRUE,(1+'Additional Input'!$D$13)^IF('Additional Input'!$K$45=TRUE,$A157,$A157-('Additional Input'!$F$45-'Additional Input'!$N$9)),1)),0)))+Adjustments!D157)</f>
        <v>0</v>
      </c>
      <c r="R157" s="571">
        <f ca="1">IF(A157&gt;'Additional Input'!$E$11,"",-((N157+Q157)*'Additional Input'!$D$12)+Adjustments!E157)</f>
        <v>0</v>
      </c>
      <c r="S157" s="571">
        <f ca="1">IF(A157&gt;'Additional Input'!$E$11,"",IF($A157&gt;='Additional Input'!$D$19,-'Additional Input'!$D$18*(1+IF('Additional Input'!$F$18=TRUE,'Additional Input'!$D$13,0))^Projections!A157,0)-TaxTables!D49+Adjustments!F157)</f>
        <v>0</v>
      </c>
      <c r="T157" s="126">
        <f ca="1">IF(A157&gt;'Additional Input'!$E$11,"",N157+Q157+R157+S157)</f>
        <v>0</v>
      </c>
    </row>
    <row r="158" spans="1:20">
      <c r="A158" s="122">
        <f t="shared" si="6"/>
        <v>19</v>
      </c>
      <c r="B158" s="110" t="str">
        <f ca="1">IF(A158&gt;'Additional Input'!$E$11,"",IF('Additional Input'!$N$9="","",'Additional Input'!$N$9+Projections!A158)&amp;"/"&amp;IF('Additional Input'!$O$9="","",IF('Additional Input'!$O$9=0,"",'Additional Input'!$O$9+Projections!A158)))</f>
        <v>79/79</v>
      </c>
      <c r="C158" s="122">
        <f ca="1">IF(A158&gt;'Additional Input'!$E$11,"",+C157+1)</f>
        <v>19</v>
      </c>
      <c r="D158" s="159">
        <f ca="1">IF(A158&gt;'Additional Input'!$E$11,"",($D157*(1+'Additional Input'!$F$26))+$N157+$Q157+$R157+$S157)</f>
        <v>31602737.639905114</v>
      </c>
      <c r="E158" s="159">
        <f ca="1">IF(A158&gt;'Additional Input'!$E$11,"",E157*(1+'Additional Input'!$F$28))</f>
        <v>0</v>
      </c>
      <c r="F158" s="159">
        <f ca="1">IF(A158&gt;'Additional Input'!$E$11,"",($F157*(1+'Additional Input'!$F$27))-$Q157+IF(('Additional Input'!$K$40)&gt;A157,'Additional Input'!$D$40*(1+IF('Additional Input'!$H$40=TRUE,'Additional Input'!$D$13,0))^A157,0)+IF(('Additional Input'!$K$40)&gt;A157,'Additional Input'!$F$40*(1+IF('Additional Input'!$H$40=TRUE,'Additional Input'!$D$13,0))^A157,0))</f>
        <v>0</v>
      </c>
      <c r="G158" s="646">
        <f ca="1">IF(A158&gt;'Additional Input'!$E$11,"",-VLOOKUP(A158*12,Amortization,2))</f>
        <v>0</v>
      </c>
      <c r="H158" s="159">
        <f ca="1">IF(A158&gt;'Additional Input'!$E$11,"",IF(A158&lt;=Calculator!$F$7,Calculator!$D$7,0)+Calculator!$D$8)</f>
        <v>0</v>
      </c>
      <c r="I158" s="159">
        <f ca="1">IF(A158&gt;'Additional Input'!$E$11,"",D158+E158+F158+G158+H158)</f>
        <v>31602737.639905114</v>
      </c>
      <c r="J158" s="646">
        <f ca="1">IF(A158&gt;'Additional Input'!$E$11,"",0)</f>
        <v>0</v>
      </c>
      <c r="K158" s="159">
        <f ca="1">IF(A158&gt;'Additional Input'!$E$11,"",0)</f>
        <v>0</v>
      </c>
      <c r="L158" s="159">
        <f ca="1">IF(A158&gt;'Additional Input'!$E$11,"",J158+K158)</f>
        <v>0</v>
      </c>
      <c r="M158" s="126">
        <f ca="1">IF(A158&gt;'Additional Input'!$E$11,"",(D158*'Additional Input'!$F$26)+(E158*'Additional Input'!$F$28)+(F158*'Additional Input'!$F$27))</f>
        <v>1264109.5055962047</v>
      </c>
      <c r="N158" s="126">
        <f ca="1">IF(A158&gt;'Additional Input'!$E$11,"",IF(('Additional Input'!$K$35)&gt;Projections!A158,'Additional Input'!$D$35*(1+IF('Additional Input'!$H$35=TRUE,'Additional Input'!$D$13,0))^Projections!A158,0)+IF(('Additional Input'!$K$36)&gt;Projections!A158,'Additional Input'!$D$36*(1+IF('Additional Input'!$H$36=TRUE,'Additional Input'!$D$13,0))^Projections!A158,0)-IF(('Additional Input'!$K$40)&gt;A158,'Additional Input'!$D$40*(1+IF('Additional Input'!$H$39=TRUE,'Additional Input'!$D$13,0))^A158,0)+IF(('Additional Input'!$F$37-'Additional Input'!$N$9)&lt;=Projections!A158,'Additional Input'!$D$37*(1+IF('Additional Input'!$H$37=TRUE,'Additional Input'!$D$13,0))^IF('Additional Input'!$K$37=TRUE,Projections!A158,Projections!A158-('Additional Input'!$F$37-'Additional Input'!$N$9)),0)+Adjustments!C158)</f>
        <v>0</v>
      </c>
      <c r="O158" s="823">
        <f ca="1">IF(A158&gt;'Additional Input'!$E$11,"",IF(('Additional Input'!$N$9+Projections!$A158)&gt;=IF('Additional Input'!$K$44=TRUE,71,70),VLOOKUP(('Additional Input'!$N$9+Projections!$A158),UniformTable,2),0))</f>
        <v>19.5</v>
      </c>
      <c r="P158" s="822">
        <f ca="1">IF(A158&gt;'Additional Input'!$E$11,"",IF($O158=0,0,$F158/$O158))</f>
        <v>0</v>
      </c>
      <c r="Q158" s="178">
        <f ca="1">IF(A158&gt;'Additional Input'!$E$11,"",IF(IF('Additional Input'!$D$44=TRUE,IF($O158=0,0,$F158/$O158),IF('Additional Input'!$F$45-'Additional Input'!$N$9&lt;=Projections!$A158,IF($F158*(1+$F$4)&lt;'Additional Input'!$D$45*IF('Additional Input'!$H$45=TRUE,(1+'Additional Input'!$D$13)^IF('Additional Input'!$K$45=TRUE,$A158,$A158-('Additional Input'!$F$45-'Additional Input'!$N$9)),1),$F158*(1+$F$4),'Additional Input'!$D$45*IF('Additional Input'!$H$45=TRUE,(1+'Additional Input'!$D$13)^IF('Additional Input'!$K$45=TRUE,$A158,$A158-('Additional Input'!$F$45-'Additional Input'!$N$9)),1)),0))&lt;$P158,$P158,IF('Additional Input'!$D$44=TRUE,IF($O158=0,0,$F158/$O158),IF('Additional Input'!$F$45-'Additional Input'!$N$9&lt;=Projections!$A158,IF($F158*(1+$F$4)&lt;'Additional Input'!$D$45*IF('Additional Input'!$H$45=TRUE,(1+'Additional Input'!$D$13)^IF('Additional Input'!$K$45=TRUE,$A158,$A158-('Additional Input'!$F$45-'Additional Input'!$N$9)),1),$F158*(1+$F$4),'Additional Input'!$D$45*IF('Additional Input'!$H$45=TRUE,(1+'Additional Input'!$D$13)^IF('Additional Input'!$K$45=TRUE,$A158,$A158-('Additional Input'!$F$45-'Additional Input'!$N$9)),1)),0)))+Adjustments!D158)</f>
        <v>0</v>
      </c>
      <c r="R158" s="571">
        <f ca="1">IF(A158&gt;'Additional Input'!$E$11,"",-((N158+Q158)*'Additional Input'!$D$12)+Adjustments!E158)</f>
        <v>0</v>
      </c>
      <c r="S158" s="571">
        <f ca="1">IF(A158&gt;'Additional Input'!$E$11,"",IF($A158&gt;='Additional Input'!$D$19,-'Additional Input'!$D$18*(1+IF('Additional Input'!$F$18=TRUE,'Additional Input'!$D$13,0))^Projections!A158,0)-TaxTables!D50+Adjustments!F158)</f>
        <v>0</v>
      </c>
      <c r="T158" s="126">
        <f ca="1">IF(A158&gt;'Additional Input'!$E$11,"",N158+Q158+R158+S158)</f>
        <v>0</v>
      </c>
    </row>
    <row r="159" spans="1:20">
      <c r="A159" s="650">
        <f t="shared" si="6"/>
        <v>20</v>
      </c>
      <c r="B159" s="651" t="str">
        <f ca="1">IF(A159&gt;'Additional Input'!$E$11,"",IF('Additional Input'!$N$9="","",'Additional Input'!$N$9+Projections!A159)&amp;"/"&amp;IF('Additional Input'!$O$9="","",IF('Additional Input'!$O$9=0,"",'Additional Input'!$O$9+Projections!A159)))</f>
        <v>80/80</v>
      </c>
      <c r="C159" s="650">
        <f ca="1">IF(A159&gt;'Additional Input'!$E$11,"",+C158+1)</f>
        <v>20</v>
      </c>
      <c r="D159" s="721">
        <f ca="1">IF(A159&gt;'Additional Input'!$E$11,"",($D158*(1+'Additional Input'!$F$26))+$N158+$Q158+$R158+$S158)</f>
        <v>32866847.145501319</v>
      </c>
      <c r="E159" s="653">
        <f ca="1">IF(A159&gt;'Additional Input'!$E$11,"",E158*(1+'Additional Input'!$F$28))</f>
        <v>0</v>
      </c>
      <c r="F159" s="653">
        <f ca="1">IF(A159&gt;'Additional Input'!$E$11,"",($F158*(1+'Additional Input'!$F$27))-$Q158+IF(('Additional Input'!$K$40)&gt;A158,'Additional Input'!$D$40*(1+IF('Additional Input'!$H$40=TRUE,'Additional Input'!$D$13,0))^A158,0)+IF(('Additional Input'!$K$40)&gt;A158,'Additional Input'!$F$40*(1+IF('Additional Input'!$H$40=TRUE,'Additional Input'!$D$13,0))^A158,0))</f>
        <v>0</v>
      </c>
      <c r="G159" s="853">
        <f ca="1">IF(A159&gt;'Additional Input'!$E$11,"",-VLOOKUP(A159*12,Amortization,2))</f>
        <v>0</v>
      </c>
      <c r="H159" s="721">
        <f ca="1">IF(A159&gt;'Additional Input'!$E$11,"",IF(A159&lt;=Calculator!$F$7,Calculator!$D$7,0)+Calculator!$D$8)</f>
        <v>0</v>
      </c>
      <c r="I159" s="652">
        <f ca="1">IF(A159&gt;'Additional Input'!$E$11,"",D159+E159+F159+G159+H159)</f>
        <v>32866847.145501319</v>
      </c>
      <c r="J159" s="720">
        <f ca="1">IF(A159&gt;'Additional Input'!$E$11,"",0)</f>
        <v>0</v>
      </c>
      <c r="K159" s="721">
        <f ca="1">IF(A159&gt;'Additional Input'!$E$11,"",0)</f>
        <v>0</v>
      </c>
      <c r="L159" s="652">
        <f ca="1">IF(A159&gt;'Additional Input'!$E$11,"",J159+K159)</f>
        <v>0</v>
      </c>
      <c r="M159" s="654">
        <f ca="1">IF(A159&gt;'Additional Input'!$E$11,"",(D159*'Additional Input'!$F$26)+(E159*'Additional Input'!$F$28)+(F159*'Additional Input'!$F$27))</f>
        <v>1314673.8858200528</v>
      </c>
      <c r="N159" s="655">
        <f ca="1">IF(A159&gt;'Additional Input'!$E$11,"",IF(('Additional Input'!$K$35)&gt;Projections!A159,'Additional Input'!$D$35*(1+IF('Additional Input'!$H$35=TRUE,'Additional Input'!$D$13,0))^Projections!A159,0)+IF(('Additional Input'!$K$36)&gt;Projections!A159,'Additional Input'!$D$36*(1+IF('Additional Input'!$H$36=TRUE,'Additional Input'!$D$13,0))^Projections!A159,0)-IF(('Additional Input'!$K$40)&gt;A159,'Additional Input'!$D$40*(1+IF('Additional Input'!$H$39=TRUE,'Additional Input'!$D$13,0))^A159,0)+IF(('Additional Input'!$F$37-'Additional Input'!$N$9)&lt;=Projections!A159,'Additional Input'!$D$37*(1+IF('Additional Input'!$H$37=TRUE,'Additional Input'!$D$13,0))^IF('Additional Input'!$K$37=TRUE,Projections!A159,Projections!A159-('Additional Input'!$F$37-'Additional Input'!$N$9)),0)+Adjustments!C159)</f>
        <v>0</v>
      </c>
      <c r="O159" s="824">
        <f ca="1">IF(A159&gt;'Additional Input'!$E$11,"",IF(('Additional Input'!$N$9+Projections!$A159)&gt;=IF('Additional Input'!$K$44=TRUE,71,70),VLOOKUP(('Additional Input'!$N$9+Projections!$A159),UniformTable,2),0))</f>
        <v>18.7</v>
      </c>
      <c r="P159" s="825">
        <f ca="1">IF(A159&gt;'Additional Input'!$E$11,"",IF($O159=0,0,$F159/$O159))</f>
        <v>0</v>
      </c>
      <c r="Q159" s="655">
        <f ca="1">IF(A159&gt;'Additional Input'!$E$11,"",IF(IF('Additional Input'!$D$44=TRUE,IF($O159=0,0,$F159/$O159),IF('Additional Input'!$F$45-'Additional Input'!$N$9&lt;=Projections!$A159,IF($F159*(1+$F$4)&lt;'Additional Input'!$D$45*IF('Additional Input'!$H$45=TRUE,(1+'Additional Input'!$D$13)^IF('Additional Input'!$K$45=TRUE,$A159,$A159-('Additional Input'!$F$45-'Additional Input'!$N$9)),1),$F159*(1+$F$4),'Additional Input'!$D$45*IF('Additional Input'!$H$45=TRUE,(1+'Additional Input'!$D$13)^IF('Additional Input'!$K$45=TRUE,$A159,$A159-('Additional Input'!$F$45-'Additional Input'!$N$9)),1)),0))&lt;$P159,$P159,IF('Additional Input'!$D$44=TRUE,IF($O159=0,0,$F159/$O159),IF('Additional Input'!$F$45-'Additional Input'!$N$9&lt;=Projections!$A159,IF($F159*(1+$F$4)&lt;'Additional Input'!$D$45*IF('Additional Input'!$H$45=TRUE,(1+'Additional Input'!$D$13)^IF('Additional Input'!$K$45=TRUE,$A159,$A159-('Additional Input'!$F$45-'Additional Input'!$N$9)),1),$F159*(1+$F$4),'Additional Input'!$D$45*IF('Additional Input'!$H$45=TRUE,(1+'Additional Input'!$D$13)^IF('Additional Input'!$K$45=TRUE,$A159,$A159-('Additional Input'!$F$45-'Additional Input'!$N$9)),1)),0)))+Adjustments!D159)</f>
        <v>0</v>
      </c>
      <c r="R159" s="656">
        <f ca="1">IF(A159&gt;'Additional Input'!$E$11,"",-((N159+Q159)*'Additional Input'!$D$12)+Adjustments!E159)</f>
        <v>0</v>
      </c>
      <c r="S159" s="656">
        <f ca="1">IF(A159&gt;'Additional Input'!$E$11,"",IF($A159&gt;='Additional Input'!$D$19,-'Additional Input'!$D$18*(1+IF('Additional Input'!$F$18=TRUE,'Additional Input'!$D$13,0))^Projections!A159,0)-TaxTables!D51+Adjustments!F159)</f>
        <v>0</v>
      </c>
      <c r="T159" s="654">
        <f ca="1">IF(A159&gt;'Additional Input'!$E$11,"",N159+Q159+R159+S159)</f>
        <v>0</v>
      </c>
    </row>
    <row r="160" spans="1:20">
      <c r="A160" s="122">
        <f t="shared" si="6"/>
        <v>21</v>
      </c>
      <c r="B160" s="110" t="str">
        <f ca="1">IF(A160&gt;'Additional Input'!$E$11,"",IF('Additional Input'!$N$9="","",'Additional Input'!$N$9+Projections!A160)&amp;"/"&amp;IF('Additional Input'!$O$9="","",IF('Additional Input'!$O$9=0,"",'Additional Input'!$O$9+Projections!A160)))</f>
        <v>81/81</v>
      </c>
      <c r="C160" s="122">
        <f ca="1">IF(A160&gt;'Additional Input'!$E$11,"",+C159+1)</f>
        <v>21</v>
      </c>
      <c r="D160" s="159">
        <f ca="1">IF(A160&gt;'Additional Input'!$E$11,"",($D159*(1+'Additional Input'!$F$26))+$N159+$Q159+$R159+$S159)</f>
        <v>34181521.031321377</v>
      </c>
      <c r="E160" s="159">
        <f ca="1">IF(A160&gt;'Additional Input'!$E$11,"",E159*(1+'Additional Input'!$F$28))</f>
        <v>0</v>
      </c>
      <c r="F160" s="159">
        <f ca="1">IF(A160&gt;'Additional Input'!$E$11,"",($F159*(1+'Additional Input'!$F$27))-$Q159+IF(('Additional Input'!$K$40)&gt;A159,'Additional Input'!$D$40*(1+IF('Additional Input'!$H$40=TRUE,'Additional Input'!$D$13,0))^A159,0)+IF(('Additional Input'!$K$40)&gt;A159,'Additional Input'!$F$40*(1+IF('Additional Input'!$H$40=TRUE,'Additional Input'!$D$13,0))^A159,0))</f>
        <v>0</v>
      </c>
      <c r="G160" s="646">
        <f ca="1">IF(A160&gt;'Additional Input'!$E$11,"",-VLOOKUP(A160*12,Amortization,2))</f>
        <v>0</v>
      </c>
      <c r="H160" s="159">
        <f ca="1">IF(A160&gt;'Additional Input'!$E$11,"",IF(A160&lt;=Calculator!$F$7,Calculator!$D$7,0)+Calculator!$D$8)</f>
        <v>0</v>
      </c>
      <c r="I160" s="159">
        <f ca="1">IF(A160&gt;'Additional Input'!$E$11,"",D160+E160+F160+G160+H160)</f>
        <v>34181521.031321377</v>
      </c>
      <c r="J160" s="646">
        <f ca="1">IF(A160&gt;'Additional Input'!$E$11,"",0)</f>
        <v>0</v>
      </c>
      <c r="K160" s="159">
        <f ca="1">IF(A160&gt;'Additional Input'!$E$11,"",0)</f>
        <v>0</v>
      </c>
      <c r="L160" s="159">
        <f ca="1">IF(A160&gt;'Additional Input'!$E$11,"",J160+K160)</f>
        <v>0</v>
      </c>
      <c r="M160" s="126">
        <f ca="1">IF(A160&gt;'Additional Input'!$E$11,"",(D160*'Additional Input'!$F$26)+(E160*'Additional Input'!$F$28)+(F160*'Additional Input'!$F$27))</f>
        <v>1367260.841252855</v>
      </c>
      <c r="N160" s="126">
        <f ca="1">IF(A160&gt;'Additional Input'!$E$11,"",IF(('Additional Input'!$K$35)&gt;Projections!A160,'Additional Input'!$D$35*(1+IF('Additional Input'!$H$35=TRUE,'Additional Input'!$D$13,0))^Projections!A160,0)+IF(('Additional Input'!$K$36)&gt;Projections!A160,'Additional Input'!$D$36*(1+IF('Additional Input'!$H$36=TRUE,'Additional Input'!$D$13,0))^Projections!A160,0)-IF(('Additional Input'!$K$40)&gt;A160,'Additional Input'!$D$40*(1+IF('Additional Input'!$H$39=TRUE,'Additional Input'!$D$13,0))^A160,0)+IF(('Additional Input'!$F$37-'Additional Input'!$N$9)&lt;=Projections!A160,'Additional Input'!$D$37*(1+IF('Additional Input'!$H$37=TRUE,'Additional Input'!$D$13,0))^IF('Additional Input'!$K$37=TRUE,Projections!A160,Projections!A160-('Additional Input'!$F$37-'Additional Input'!$N$9)),0)+Adjustments!C160)</f>
        <v>0</v>
      </c>
      <c r="O160" s="823">
        <f ca="1">IF(A160&gt;'Additional Input'!$E$11,"",IF(('Additional Input'!$N$9+Projections!$A160)&gt;=IF('Additional Input'!$K$44=TRUE,71,70),VLOOKUP(('Additional Input'!$N$9+Projections!$A160),UniformTable,2),0))</f>
        <v>17.899999999999999</v>
      </c>
      <c r="P160" s="822">
        <f ca="1">IF(A160&gt;'Additional Input'!$E$11,"",IF($O160=0,0,$F160/$O160))</f>
        <v>0</v>
      </c>
      <c r="Q160" s="178">
        <f ca="1">IF(A160&gt;'Additional Input'!$E$11,"",IF(IF('Additional Input'!$D$44=TRUE,IF($O160=0,0,$F160/$O160),IF('Additional Input'!$F$45-'Additional Input'!$N$9&lt;=Projections!$A160,IF($F160*(1+$F$4)&lt;'Additional Input'!$D$45*IF('Additional Input'!$H$45=TRUE,(1+'Additional Input'!$D$13)^IF('Additional Input'!$K$45=TRUE,$A160,$A160-('Additional Input'!$F$45-'Additional Input'!$N$9)),1),$F160*(1+$F$4),'Additional Input'!$D$45*IF('Additional Input'!$H$45=TRUE,(1+'Additional Input'!$D$13)^IF('Additional Input'!$K$45=TRUE,$A160,$A160-('Additional Input'!$F$45-'Additional Input'!$N$9)),1)),0))&lt;$P160,$P160,IF('Additional Input'!$D$44=TRUE,IF($O160=0,0,$F160/$O160),IF('Additional Input'!$F$45-'Additional Input'!$N$9&lt;=Projections!$A160,IF($F160*(1+$F$4)&lt;'Additional Input'!$D$45*IF('Additional Input'!$H$45=TRUE,(1+'Additional Input'!$D$13)^IF('Additional Input'!$K$45=TRUE,$A160,$A160-('Additional Input'!$F$45-'Additional Input'!$N$9)),1),$F160*(1+$F$4),'Additional Input'!$D$45*IF('Additional Input'!$H$45=TRUE,(1+'Additional Input'!$D$13)^IF('Additional Input'!$K$45=TRUE,$A160,$A160-('Additional Input'!$F$45-'Additional Input'!$N$9)),1)),0)))+Adjustments!D160)</f>
        <v>0</v>
      </c>
      <c r="R160" s="571">
        <f ca="1">IF(A160&gt;'Additional Input'!$E$11,"",-((N160+Q160)*'Additional Input'!$D$12)+Adjustments!E160)</f>
        <v>0</v>
      </c>
      <c r="S160" s="571">
        <f ca="1">IF(A160&gt;'Additional Input'!$E$11,"",IF($A160&gt;='Additional Input'!$D$19,-'Additional Input'!$D$18*(1+IF('Additional Input'!$F$18=TRUE,'Additional Input'!$D$13,0))^Projections!A160,0)-TaxTables!D52+Adjustments!F160)</f>
        <v>0</v>
      </c>
      <c r="T160" s="126">
        <f ca="1">IF(A160&gt;'Additional Input'!$E$11,"",N160+Q160+R160+S160)</f>
        <v>0</v>
      </c>
    </row>
    <row r="161" spans="1:20">
      <c r="A161" s="122">
        <f t="shared" si="6"/>
        <v>22</v>
      </c>
      <c r="B161" s="110" t="str">
        <f ca="1">IF(A161&gt;'Additional Input'!$E$11,"",IF('Additional Input'!$N$9="","",'Additional Input'!$N$9+Projections!A161)&amp;"/"&amp;IF('Additional Input'!$O$9="","",IF('Additional Input'!$O$9=0,"",'Additional Input'!$O$9+Projections!A161)))</f>
        <v>82/82</v>
      </c>
      <c r="C161" s="122">
        <f ca="1">IF(A161&gt;'Additional Input'!$E$11,"",+C160+1)</f>
        <v>22</v>
      </c>
      <c r="D161" s="159">
        <f ca="1">IF(A161&gt;'Additional Input'!$E$11,"",($D160*(1+'Additional Input'!$F$26))+$N160+$Q160+$R160+$S160)</f>
        <v>35548781.872574233</v>
      </c>
      <c r="E161" s="159">
        <f ca="1">IF(A161&gt;'Additional Input'!$E$11,"",E160*(1+'Additional Input'!$F$28))</f>
        <v>0</v>
      </c>
      <c r="F161" s="159">
        <f ca="1">IF(A161&gt;'Additional Input'!$E$11,"",($F160*(1+'Additional Input'!$F$27))-$Q160+IF(('Additional Input'!$K$40)&gt;A160,'Additional Input'!$D$40*(1+IF('Additional Input'!$H$40=TRUE,'Additional Input'!$D$13,0))^A160,0)+IF(('Additional Input'!$K$40)&gt;A160,'Additional Input'!$F$40*(1+IF('Additional Input'!$H$40=TRUE,'Additional Input'!$D$13,0))^A160,0))</f>
        <v>0</v>
      </c>
      <c r="G161" s="646">
        <f ca="1">IF(A161&gt;'Additional Input'!$E$11,"",-VLOOKUP(A161*12,Amortization,2))</f>
        <v>0</v>
      </c>
      <c r="H161" s="159">
        <f ca="1">IF(A161&gt;'Additional Input'!$E$11,"",IF(A161&lt;=Calculator!$F$7,Calculator!$D$7,0)+Calculator!$D$8)</f>
        <v>0</v>
      </c>
      <c r="I161" s="159">
        <f ca="1">IF(A161&gt;'Additional Input'!$E$11,"",D161+E161+F161+G161+H161)</f>
        <v>35548781.872574233</v>
      </c>
      <c r="J161" s="646">
        <f ca="1">IF(A161&gt;'Additional Input'!$E$11,"",0)</f>
        <v>0</v>
      </c>
      <c r="K161" s="159">
        <f ca="1">IF(A161&gt;'Additional Input'!$E$11,"",0)</f>
        <v>0</v>
      </c>
      <c r="L161" s="159">
        <f ca="1">IF(A161&gt;'Additional Input'!$E$11,"",J161+K161)</f>
        <v>0</v>
      </c>
      <c r="M161" s="126">
        <f ca="1">IF(A161&gt;'Additional Input'!$E$11,"",(D161*'Additional Input'!$F$26)+(E161*'Additional Input'!$F$28)+(F161*'Additional Input'!$F$27))</f>
        <v>1421951.2749029694</v>
      </c>
      <c r="N161" s="126">
        <f ca="1">IF(A161&gt;'Additional Input'!$E$11,"",IF(('Additional Input'!$K$35)&gt;Projections!A161,'Additional Input'!$D$35*(1+IF('Additional Input'!$H$35=TRUE,'Additional Input'!$D$13,0))^Projections!A161,0)+IF(('Additional Input'!$K$36)&gt;Projections!A161,'Additional Input'!$D$36*(1+IF('Additional Input'!$H$36=TRUE,'Additional Input'!$D$13,0))^Projections!A161,0)-IF(('Additional Input'!$K$40)&gt;A161,'Additional Input'!$D$40*(1+IF('Additional Input'!$H$39=TRUE,'Additional Input'!$D$13,0))^A161,0)+IF(('Additional Input'!$F$37-'Additional Input'!$N$9)&lt;=Projections!A161,'Additional Input'!$D$37*(1+IF('Additional Input'!$H$37=TRUE,'Additional Input'!$D$13,0))^IF('Additional Input'!$K$37=TRUE,Projections!A161,Projections!A161-('Additional Input'!$F$37-'Additional Input'!$N$9)),0)+Adjustments!C161)</f>
        <v>0</v>
      </c>
      <c r="O161" s="823">
        <f ca="1">IF(A161&gt;'Additional Input'!$E$11,"",IF(('Additional Input'!$N$9+Projections!$A161)&gt;=IF('Additional Input'!$K$44=TRUE,71,70),VLOOKUP(('Additional Input'!$N$9+Projections!$A161),UniformTable,2),0))</f>
        <v>17.100000000000001</v>
      </c>
      <c r="P161" s="822">
        <f ca="1">IF(A161&gt;'Additional Input'!$E$11,"",IF($O161=0,0,$F161/$O161))</f>
        <v>0</v>
      </c>
      <c r="Q161" s="178">
        <f ca="1">IF(A161&gt;'Additional Input'!$E$11,"",IF(IF('Additional Input'!$D$44=TRUE,IF($O161=0,0,$F161/$O161),IF('Additional Input'!$F$45-'Additional Input'!$N$9&lt;=Projections!$A161,IF($F161*(1+$F$4)&lt;'Additional Input'!$D$45*IF('Additional Input'!$H$45=TRUE,(1+'Additional Input'!$D$13)^IF('Additional Input'!$K$45=TRUE,$A161,$A161-('Additional Input'!$F$45-'Additional Input'!$N$9)),1),$F161*(1+$F$4),'Additional Input'!$D$45*IF('Additional Input'!$H$45=TRUE,(1+'Additional Input'!$D$13)^IF('Additional Input'!$K$45=TRUE,$A161,$A161-('Additional Input'!$F$45-'Additional Input'!$N$9)),1)),0))&lt;$P161,$P161,IF('Additional Input'!$D$44=TRUE,IF($O161=0,0,$F161/$O161),IF('Additional Input'!$F$45-'Additional Input'!$N$9&lt;=Projections!$A161,IF($F161*(1+$F$4)&lt;'Additional Input'!$D$45*IF('Additional Input'!$H$45=TRUE,(1+'Additional Input'!$D$13)^IF('Additional Input'!$K$45=TRUE,$A161,$A161-('Additional Input'!$F$45-'Additional Input'!$N$9)),1),$F161*(1+$F$4),'Additional Input'!$D$45*IF('Additional Input'!$H$45=TRUE,(1+'Additional Input'!$D$13)^IF('Additional Input'!$K$45=TRUE,$A161,$A161-('Additional Input'!$F$45-'Additional Input'!$N$9)),1)),0)))+Adjustments!D161)</f>
        <v>0</v>
      </c>
      <c r="R161" s="571">
        <f ca="1">IF(A161&gt;'Additional Input'!$E$11,"",-((N161+Q161)*'Additional Input'!$D$12)+Adjustments!E161)</f>
        <v>0</v>
      </c>
      <c r="S161" s="571">
        <f ca="1">IF(A161&gt;'Additional Input'!$E$11,"",IF($A161&gt;='Additional Input'!$D$19,-'Additional Input'!$D$18*(1+IF('Additional Input'!$F$18=TRUE,'Additional Input'!$D$13,0))^Projections!A161,0)-TaxTables!D53+Adjustments!F161)</f>
        <v>0</v>
      </c>
      <c r="T161" s="126">
        <f ca="1">IF(A161&gt;'Additional Input'!$E$11,"",N161+Q161+R161+S161)</f>
        <v>0</v>
      </c>
    </row>
    <row r="162" spans="1:20">
      <c r="A162" s="122">
        <f t="shared" si="6"/>
        <v>23</v>
      </c>
      <c r="B162" s="110" t="str">
        <f ca="1">IF(A162&gt;'Additional Input'!$E$11,"",IF('Additional Input'!$N$9="","",'Additional Input'!$N$9+Projections!A162)&amp;"/"&amp;IF('Additional Input'!$O$9="","",IF('Additional Input'!$O$9=0,"",'Additional Input'!$O$9+Projections!A162)))</f>
        <v>83/83</v>
      </c>
      <c r="C162" s="122">
        <f ca="1">IF(A162&gt;'Additional Input'!$E$11,"",+C161+1)</f>
        <v>23</v>
      </c>
      <c r="D162" s="159">
        <f ca="1">IF(A162&gt;'Additional Input'!$E$11,"",($D161*(1+'Additional Input'!$F$26))+$N161+$Q161+$R161+$S161)</f>
        <v>36970733.147477202</v>
      </c>
      <c r="E162" s="159">
        <f ca="1">IF(A162&gt;'Additional Input'!$E$11,"",E161*(1+'Additional Input'!$F$28))</f>
        <v>0</v>
      </c>
      <c r="F162" s="159">
        <f ca="1">IF(A162&gt;'Additional Input'!$E$11,"",($F161*(1+'Additional Input'!$F$27))-$Q161+IF(('Additional Input'!$K$40)&gt;A161,'Additional Input'!$D$40*(1+IF('Additional Input'!$H$40=TRUE,'Additional Input'!$D$13,0))^A161,0)+IF(('Additional Input'!$K$40)&gt;A161,'Additional Input'!$F$40*(1+IF('Additional Input'!$H$40=TRUE,'Additional Input'!$D$13,0))^A161,0))</f>
        <v>0</v>
      </c>
      <c r="G162" s="646">
        <f ca="1">IF(A162&gt;'Additional Input'!$E$11,"",-VLOOKUP(A162*12,Amortization,2))</f>
        <v>0</v>
      </c>
      <c r="H162" s="159">
        <f ca="1">IF(A162&gt;'Additional Input'!$E$11,"",IF(A162&lt;=Calculator!$F$7,Calculator!$D$7,0)+Calculator!$D$8)</f>
        <v>0</v>
      </c>
      <c r="I162" s="159">
        <f ca="1">IF(A162&gt;'Additional Input'!$E$11,"",D162+E162+F162+G162+H162)</f>
        <v>36970733.147477202</v>
      </c>
      <c r="J162" s="646">
        <f ca="1">IF(A162&gt;'Additional Input'!$E$11,"",0)</f>
        <v>0</v>
      </c>
      <c r="K162" s="159">
        <f ca="1">IF(A162&gt;'Additional Input'!$E$11,"",0)</f>
        <v>0</v>
      </c>
      <c r="L162" s="159">
        <f ca="1">IF(A162&gt;'Additional Input'!$E$11,"",J162+K162)</f>
        <v>0</v>
      </c>
      <c r="M162" s="126">
        <f ca="1">IF(A162&gt;'Additional Input'!$E$11,"",(D162*'Additional Input'!$F$26)+(E162*'Additional Input'!$F$28)+(F162*'Additional Input'!$F$27))</f>
        <v>1478829.3258990881</v>
      </c>
      <c r="N162" s="126">
        <f ca="1">IF(A162&gt;'Additional Input'!$E$11,"",IF(('Additional Input'!$K$35)&gt;Projections!A162,'Additional Input'!$D$35*(1+IF('Additional Input'!$H$35=TRUE,'Additional Input'!$D$13,0))^Projections!A162,0)+IF(('Additional Input'!$K$36)&gt;Projections!A162,'Additional Input'!$D$36*(1+IF('Additional Input'!$H$36=TRUE,'Additional Input'!$D$13,0))^Projections!A162,0)-IF(('Additional Input'!$K$40)&gt;A162,'Additional Input'!$D$40*(1+IF('Additional Input'!$H$39=TRUE,'Additional Input'!$D$13,0))^A162,0)+IF(('Additional Input'!$F$37-'Additional Input'!$N$9)&lt;=Projections!A162,'Additional Input'!$D$37*(1+IF('Additional Input'!$H$37=TRUE,'Additional Input'!$D$13,0))^IF('Additional Input'!$K$37=TRUE,Projections!A162,Projections!A162-('Additional Input'!$F$37-'Additional Input'!$N$9)),0)+Adjustments!C162)</f>
        <v>0</v>
      </c>
      <c r="O162" s="823">
        <f ca="1">IF(A162&gt;'Additional Input'!$E$11,"",IF(('Additional Input'!$N$9+Projections!$A162)&gt;=IF('Additional Input'!$K$44=TRUE,71,70),VLOOKUP(('Additional Input'!$N$9+Projections!$A162),UniformTable,2),0))</f>
        <v>16.3</v>
      </c>
      <c r="P162" s="822">
        <f ca="1">IF(A162&gt;'Additional Input'!$E$11,"",IF($O162=0,0,$F162/$O162))</f>
        <v>0</v>
      </c>
      <c r="Q162" s="178">
        <f ca="1">IF(A162&gt;'Additional Input'!$E$11,"",IF(IF('Additional Input'!$D$44=TRUE,IF($O162=0,0,$F162/$O162),IF('Additional Input'!$F$45-'Additional Input'!$N$9&lt;=Projections!$A162,IF($F162*(1+$F$4)&lt;'Additional Input'!$D$45*IF('Additional Input'!$H$45=TRUE,(1+'Additional Input'!$D$13)^IF('Additional Input'!$K$45=TRUE,$A162,$A162-('Additional Input'!$F$45-'Additional Input'!$N$9)),1),$F162*(1+$F$4),'Additional Input'!$D$45*IF('Additional Input'!$H$45=TRUE,(1+'Additional Input'!$D$13)^IF('Additional Input'!$K$45=TRUE,$A162,$A162-('Additional Input'!$F$45-'Additional Input'!$N$9)),1)),0))&lt;$P162,$P162,IF('Additional Input'!$D$44=TRUE,IF($O162=0,0,$F162/$O162),IF('Additional Input'!$F$45-'Additional Input'!$N$9&lt;=Projections!$A162,IF($F162*(1+$F$4)&lt;'Additional Input'!$D$45*IF('Additional Input'!$H$45=TRUE,(1+'Additional Input'!$D$13)^IF('Additional Input'!$K$45=TRUE,$A162,$A162-('Additional Input'!$F$45-'Additional Input'!$N$9)),1),$F162*(1+$F$4),'Additional Input'!$D$45*IF('Additional Input'!$H$45=TRUE,(1+'Additional Input'!$D$13)^IF('Additional Input'!$K$45=TRUE,$A162,$A162-('Additional Input'!$F$45-'Additional Input'!$N$9)),1)),0)))+Adjustments!D162)</f>
        <v>0</v>
      </c>
      <c r="R162" s="571">
        <f ca="1">IF(A162&gt;'Additional Input'!$E$11,"",-((N162+Q162)*'Additional Input'!$D$12)+Adjustments!E162)</f>
        <v>0</v>
      </c>
      <c r="S162" s="571">
        <f ca="1">IF(A162&gt;'Additional Input'!$E$11,"",IF($A162&gt;='Additional Input'!$D$19,-'Additional Input'!$D$18*(1+IF('Additional Input'!$F$18=TRUE,'Additional Input'!$D$13,0))^Projections!A162,0)-TaxTables!D54+Adjustments!F162)</f>
        <v>0</v>
      </c>
      <c r="T162" s="126">
        <f ca="1">IF(A162&gt;'Additional Input'!$E$11,"",N162+Q162+R162+S162)</f>
        <v>0</v>
      </c>
    </row>
    <row r="163" spans="1:20">
      <c r="A163" s="122">
        <f t="shared" si="6"/>
        <v>24</v>
      </c>
      <c r="B163" s="110" t="str">
        <f ca="1">IF(A163&gt;'Additional Input'!$E$11,"",IF('Additional Input'!$N$9="","",'Additional Input'!$N$9+Projections!A163)&amp;"/"&amp;IF('Additional Input'!$O$9="","",IF('Additional Input'!$O$9=0,"",'Additional Input'!$O$9+Projections!A163)))</f>
        <v>84/84</v>
      </c>
      <c r="C163" s="122">
        <f ca="1">IF(A163&gt;'Additional Input'!$E$11,"",+C162+1)</f>
        <v>24</v>
      </c>
      <c r="D163" s="159">
        <f ca="1">IF(A163&gt;'Additional Input'!$E$11,"",($D162*(1+'Additional Input'!$F$26))+$N162+$Q162+$R162+$S162)</f>
        <v>38449562.473376289</v>
      </c>
      <c r="E163" s="159">
        <f ca="1">IF(A163&gt;'Additional Input'!$E$11,"",E162*(1+'Additional Input'!$F$28))</f>
        <v>0</v>
      </c>
      <c r="F163" s="159">
        <f ca="1">IF(A163&gt;'Additional Input'!$E$11,"",($F162*(1+'Additional Input'!$F$27))-$Q162+IF(('Additional Input'!$K$40)&gt;A162,'Additional Input'!$D$40*(1+IF('Additional Input'!$H$40=TRUE,'Additional Input'!$D$13,0))^A162,0)+IF(('Additional Input'!$K$40)&gt;A162,'Additional Input'!$F$40*(1+IF('Additional Input'!$H$40=TRUE,'Additional Input'!$D$13,0))^A162,0))</f>
        <v>0</v>
      </c>
      <c r="G163" s="646">
        <f ca="1">IF(A163&gt;'Additional Input'!$E$11,"",-VLOOKUP(A163*12,Amortization,2))</f>
        <v>0</v>
      </c>
      <c r="H163" s="159">
        <f ca="1">IF(A163&gt;'Additional Input'!$E$11,"",IF(A163&lt;=Calculator!$F$7,Calculator!$D$7,0)+Calculator!$D$8)</f>
        <v>0</v>
      </c>
      <c r="I163" s="159">
        <f ca="1">IF(A163&gt;'Additional Input'!$E$11,"",D163+E163+F163+G163+H163)</f>
        <v>38449562.473376289</v>
      </c>
      <c r="J163" s="646">
        <f ca="1">IF(A163&gt;'Additional Input'!$E$11,"",0)</f>
        <v>0</v>
      </c>
      <c r="K163" s="159">
        <f ca="1">IF(A163&gt;'Additional Input'!$E$11,"",0)</f>
        <v>0</v>
      </c>
      <c r="L163" s="159">
        <f ca="1">IF(A163&gt;'Additional Input'!$E$11,"",J163+K163)</f>
        <v>0</v>
      </c>
      <c r="M163" s="126">
        <f ca="1">IF(A163&gt;'Additional Input'!$E$11,"",(D163*'Additional Input'!$F$26)+(E163*'Additional Input'!$F$28)+(F163*'Additional Input'!$F$27))</f>
        <v>1537982.4989350515</v>
      </c>
      <c r="N163" s="126">
        <f ca="1">IF(A163&gt;'Additional Input'!$E$11,"",IF(('Additional Input'!$K$35)&gt;Projections!A163,'Additional Input'!$D$35*(1+IF('Additional Input'!$H$35=TRUE,'Additional Input'!$D$13,0))^Projections!A163,0)+IF(('Additional Input'!$K$36)&gt;Projections!A163,'Additional Input'!$D$36*(1+IF('Additional Input'!$H$36=TRUE,'Additional Input'!$D$13,0))^Projections!A163,0)-IF(('Additional Input'!$K$40)&gt;A163,'Additional Input'!$D$40*(1+IF('Additional Input'!$H$39=TRUE,'Additional Input'!$D$13,0))^A163,0)+IF(('Additional Input'!$F$37-'Additional Input'!$N$9)&lt;=Projections!A163,'Additional Input'!$D$37*(1+IF('Additional Input'!$H$37=TRUE,'Additional Input'!$D$13,0))^IF('Additional Input'!$K$37=TRUE,Projections!A163,Projections!A163-('Additional Input'!$F$37-'Additional Input'!$N$9)),0)+Adjustments!C163)</f>
        <v>0</v>
      </c>
      <c r="O163" s="823">
        <f ca="1">IF(A163&gt;'Additional Input'!$E$11,"",IF(('Additional Input'!$N$9+Projections!$A163)&gt;=IF('Additional Input'!$K$44=TRUE,71,70),VLOOKUP(('Additional Input'!$N$9+Projections!$A163),UniformTable,2),0))</f>
        <v>15.5</v>
      </c>
      <c r="P163" s="822">
        <f ca="1">IF(A163&gt;'Additional Input'!$E$11,"",IF($O163=0,0,$F163/$O163))</f>
        <v>0</v>
      </c>
      <c r="Q163" s="178">
        <f ca="1">IF(A163&gt;'Additional Input'!$E$11,"",IF(IF('Additional Input'!$D$44=TRUE,IF($O163=0,0,$F163/$O163),IF('Additional Input'!$F$45-'Additional Input'!$N$9&lt;=Projections!$A163,IF($F163*(1+$F$4)&lt;'Additional Input'!$D$45*IF('Additional Input'!$H$45=TRUE,(1+'Additional Input'!$D$13)^IF('Additional Input'!$K$45=TRUE,$A163,$A163-('Additional Input'!$F$45-'Additional Input'!$N$9)),1),$F163*(1+$F$4),'Additional Input'!$D$45*IF('Additional Input'!$H$45=TRUE,(1+'Additional Input'!$D$13)^IF('Additional Input'!$K$45=TRUE,$A163,$A163-('Additional Input'!$F$45-'Additional Input'!$N$9)),1)),0))&lt;$P163,$P163,IF('Additional Input'!$D$44=TRUE,IF($O163=0,0,$F163/$O163),IF('Additional Input'!$F$45-'Additional Input'!$N$9&lt;=Projections!$A163,IF($F163*(1+$F$4)&lt;'Additional Input'!$D$45*IF('Additional Input'!$H$45=TRUE,(1+'Additional Input'!$D$13)^IF('Additional Input'!$K$45=TRUE,$A163,$A163-('Additional Input'!$F$45-'Additional Input'!$N$9)),1),$F163*(1+$F$4),'Additional Input'!$D$45*IF('Additional Input'!$H$45=TRUE,(1+'Additional Input'!$D$13)^IF('Additional Input'!$K$45=TRUE,$A163,$A163-('Additional Input'!$F$45-'Additional Input'!$N$9)),1)),0)))+Adjustments!D163)</f>
        <v>0</v>
      </c>
      <c r="R163" s="571">
        <f ca="1">IF(A163&gt;'Additional Input'!$E$11,"",-((N163+Q163)*'Additional Input'!$D$12)+Adjustments!E163)</f>
        <v>0</v>
      </c>
      <c r="S163" s="571">
        <f ca="1">IF(A163&gt;'Additional Input'!$E$11,"",IF($A163&gt;='Additional Input'!$D$19,-'Additional Input'!$D$18*(1+IF('Additional Input'!$F$18=TRUE,'Additional Input'!$D$13,0))^Projections!A163,0)-TaxTables!D55+Adjustments!F163)</f>
        <v>0</v>
      </c>
      <c r="T163" s="126">
        <f ca="1">IF(A163&gt;'Additional Input'!$E$11,"",N163+Q163+R163+S163)</f>
        <v>0</v>
      </c>
    </row>
    <row r="164" spans="1:20">
      <c r="A164" s="650">
        <f t="shared" si="6"/>
        <v>25</v>
      </c>
      <c r="B164" s="651" t="str">
        <f ca="1">IF(A164&gt;'Additional Input'!$E$11,"",IF('Additional Input'!$N$9="","",'Additional Input'!$N$9+Projections!A164)&amp;"/"&amp;IF('Additional Input'!$O$9="","",IF('Additional Input'!$O$9=0,"",'Additional Input'!$O$9+Projections!A164)))</f>
        <v>85/85</v>
      </c>
      <c r="C164" s="650">
        <f ca="1">IF(A164&gt;'Additional Input'!$E$11,"",+C163+1)</f>
        <v>25</v>
      </c>
      <c r="D164" s="721">
        <f ca="1">IF(A164&gt;'Additional Input'!$E$11,"",($D163*(1+'Additional Input'!$F$26))+$N163+$Q163+$R163+$S163)</f>
        <v>39987544.97231134</v>
      </c>
      <c r="E164" s="653">
        <f ca="1">IF(A164&gt;'Additional Input'!$E$11,"",E163*(1+'Additional Input'!$F$28))</f>
        <v>0</v>
      </c>
      <c r="F164" s="653">
        <f ca="1">IF(A164&gt;'Additional Input'!$E$11,"",($F163*(1+'Additional Input'!$F$27))-$Q163+IF(('Additional Input'!$K$40)&gt;A163,'Additional Input'!$D$40*(1+IF('Additional Input'!$H$40=TRUE,'Additional Input'!$D$13,0))^A163,0)+IF(('Additional Input'!$K$40)&gt;A163,'Additional Input'!$F$40*(1+IF('Additional Input'!$H$40=TRUE,'Additional Input'!$D$13,0))^A163,0))</f>
        <v>0</v>
      </c>
      <c r="G164" s="853">
        <f ca="1">IF(A164&gt;'Additional Input'!$E$11,"",-VLOOKUP(A164*12,Amortization,2))</f>
        <v>0</v>
      </c>
      <c r="H164" s="721">
        <f ca="1">IF(A164&gt;'Additional Input'!$E$11,"",IF(A164&lt;=Calculator!$F$7,Calculator!$D$7,0)+Calculator!$D$8)</f>
        <v>0</v>
      </c>
      <c r="I164" s="652">
        <f ca="1">IF(A164&gt;'Additional Input'!$E$11,"",D164+E164+F164+G164+H164)</f>
        <v>39987544.97231134</v>
      </c>
      <c r="J164" s="720">
        <f ca="1">IF(A164&gt;'Additional Input'!$E$11,"",0)</f>
        <v>0</v>
      </c>
      <c r="K164" s="721">
        <f ca="1">IF(A164&gt;'Additional Input'!$E$11,"",0)</f>
        <v>0</v>
      </c>
      <c r="L164" s="652">
        <f ca="1">IF(A164&gt;'Additional Input'!$E$11,"",J164+K164)</f>
        <v>0</v>
      </c>
      <c r="M164" s="654">
        <f ca="1">IF(A164&gt;'Additional Input'!$E$11,"",(D164*'Additional Input'!$F$26)+(E164*'Additional Input'!$F$28)+(F164*'Additional Input'!$F$27))</f>
        <v>1599501.7988924535</v>
      </c>
      <c r="N164" s="655">
        <f ca="1">IF(A164&gt;'Additional Input'!$E$11,"",IF(('Additional Input'!$K$35)&gt;Projections!A164,'Additional Input'!$D$35*(1+IF('Additional Input'!$H$35=TRUE,'Additional Input'!$D$13,0))^Projections!A164,0)+IF(('Additional Input'!$K$36)&gt;Projections!A164,'Additional Input'!$D$36*(1+IF('Additional Input'!$H$36=TRUE,'Additional Input'!$D$13,0))^Projections!A164,0)-IF(('Additional Input'!$K$40)&gt;A164,'Additional Input'!$D$40*(1+IF('Additional Input'!$H$39=TRUE,'Additional Input'!$D$13,0))^A164,0)+IF(('Additional Input'!$F$37-'Additional Input'!$N$9)&lt;=Projections!A164,'Additional Input'!$D$37*(1+IF('Additional Input'!$H$37=TRUE,'Additional Input'!$D$13,0))^IF('Additional Input'!$K$37=TRUE,Projections!A164,Projections!A164-('Additional Input'!$F$37-'Additional Input'!$N$9)),0)+Adjustments!C164)</f>
        <v>0</v>
      </c>
      <c r="O164" s="824">
        <f ca="1">IF(A164&gt;'Additional Input'!$E$11,"",IF(('Additional Input'!$N$9+Projections!$A164)&gt;=IF('Additional Input'!$K$44=TRUE,71,70),VLOOKUP(('Additional Input'!$N$9+Projections!$A164),UniformTable,2),0))</f>
        <v>14.8</v>
      </c>
      <c r="P164" s="825">
        <f ca="1">IF(A164&gt;'Additional Input'!$E$11,"",IF($O164=0,0,$F164/$O164))</f>
        <v>0</v>
      </c>
      <c r="Q164" s="655">
        <f ca="1">IF(A164&gt;'Additional Input'!$E$11,"",IF(IF('Additional Input'!$D$44=TRUE,IF($O164=0,0,$F164/$O164),IF('Additional Input'!$F$45-'Additional Input'!$N$9&lt;=Projections!$A164,IF($F164*(1+$F$4)&lt;'Additional Input'!$D$45*IF('Additional Input'!$H$45=TRUE,(1+'Additional Input'!$D$13)^IF('Additional Input'!$K$45=TRUE,$A164,$A164-('Additional Input'!$F$45-'Additional Input'!$N$9)),1),$F164*(1+$F$4),'Additional Input'!$D$45*IF('Additional Input'!$H$45=TRUE,(1+'Additional Input'!$D$13)^IF('Additional Input'!$K$45=TRUE,$A164,$A164-('Additional Input'!$F$45-'Additional Input'!$N$9)),1)),0))&lt;$P164,$P164,IF('Additional Input'!$D$44=TRUE,IF($O164=0,0,$F164/$O164),IF('Additional Input'!$F$45-'Additional Input'!$N$9&lt;=Projections!$A164,IF($F164*(1+$F$4)&lt;'Additional Input'!$D$45*IF('Additional Input'!$H$45=TRUE,(1+'Additional Input'!$D$13)^IF('Additional Input'!$K$45=TRUE,$A164,$A164-('Additional Input'!$F$45-'Additional Input'!$N$9)),1),$F164*(1+$F$4),'Additional Input'!$D$45*IF('Additional Input'!$H$45=TRUE,(1+'Additional Input'!$D$13)^IF('Additional Input'!$K$45=TRUE,$A164,$A164-('Additional Input'!$F$45-'Additional Input'!$N$9)),1)),0)))+Adjustments!D164)</f>
        <v>0</v>
      </c>
      <c r="R164" s="656">
        <f ca="1">IF(A164&gt;'Additional Input'!$E$11,"",-((N164+Q164)*'Additional Input'!$D$12)+Adjustments!E164)</f>
        <v>0</v>
      </c>
      <c r="S164" s="656">
        <f ca="1">IF(A164&gt;'Additional Input'!$E$11,"",IF($A164&gt;='Additional Input'!$D$19,-'Additional Input'!$D$18*(1+IF('Additional Input'!$F$18=TRUE,'Additional Input'!$D$13,0))^Projections!A164,0)-TaxTables!D56+Adjustments!F164)</f>
        <v>0</v>
      </c>
      <c r="T164" s="654">
        <f ca="1">IF(A164&gt;'Additional Input'!$E$11,"",N164+Q164+R164+S164)</f>
        <v>0</v>
      </c>
    </row>
    <row r="165" spans="1:20">
      <c r="A165" s="122">
        <f t="shared" si="6"/>
        <v>26</v>
      </c>
      <c r="B165" s="110" t="str">
        <f ca="1">IF(A165&gt;'Additional Input'!$E$11,"",IF('Additional Input'!$N$9="","",'Additional Input'!$N$9+Projections!A165)&amp;"/"&amp;IF('Additional Input'!$O$9="","",IF('Additional Input'!$O$9=0,"",'Additional Input'!$O$9+Projections!A165)))</f>
        <v>86/86</v>
      </c>
      <c r="C165" s="122">
        <f ca="1">IF(A165&gt;'Additional Input'!$E$11,"",+C164+1)</f>
        <v>26</v>
      </c>
      <c r="D165" s="159">
        <f ca="1">IF(A165&gt;'Additional Input'!$E$11,"",($D164*(1+'Additional Input'!$F$26))+$N164+$Q164+$R164+$S164)</f>
        <v>41587046.771203794</v>
      </c>
      <c r="E165" s="159">
        <f ca="1">IF(A165&gt;'Additional Input'!$E$11,"",E164*(1+'Additional Input'!$F$28))</f>
        <v>0</v>
      </c>
      <c r="F165" s="159">
        <f ca="1">IF(A165&gt;'Additional Input'!$E$11,"",($F164*(1+'Additional Input'!$F$27))-$Q164+IF(('Additional Input'!$K$40)&gt;A164,'Additional Input'!$D$40*(1+IF('Additional Input'!$H$40=TRUE,'Additional Input'!$D$13,0))^A164,0)+IF(('Additional Input'!$K$40)&gt;A164,'Additional Input'!$F$40*(1+IF('Additional Input'!$H$40=TRUE,'Additional Input'!$D$13,0))^A164,0))</f>
        <v>0</v>
      </c>
      <c r="G165" s="646">
        <f ca="1">IF(A165&gt;'Additional Input'!$E$11,"",-VLOOKUP(A165*12,Amortization,2))</f>
        <v>0</v>
      </c>
      <c r="H165" s="159">
        <f ca="1">IF(A165&gt;'Additional Input'!$E$11,"",IF(A165&lt;=Calculator!$F$7,Calculator!$D$7,0)+Calculator!$D$8)</f>
        <v>0</v>
      </c>
      <c r="I165" s="159">
        <f ca="1">IF(A165&gt;'Additional Input'!$E$11,"",D165+E165+F165+G165+H165)</f>
        <v>41587046.771203794</v>
      </c>
      <c r="J165" s="646">
        <f ca="1">IF(A165&gt;'Additional Input'!$E$11,"",0)</f>
        <v>0</v>
      </c>
      <c r="K165" s="159">
        <f ca="1">IF(A165&gt;'Additional Input'!$E$11,"",0)</f>
        <v>0</v>
      </c>
      <c r="L165" s="159">
        <f ca="1">IF(A165&gt;'Additional Input'!$E$11,"",J165+K165)</f>
        <v>0</v>
      </c>
      <c r="M165" s="126">
        <f ca="1">IF(A165&gt;'Additional Input'!$E$11,"",(D165*'Additional Input'!$F$26)+(E165*'Additional Input'!$F$28)+(F165*'Additional Input'!$F$27))</f>
        <v>1663481.8708481519</v>
      </c>
      <c r="N165" s="126">
        <f ca="1">IF(A165&gt;'Additional Input'!$E$11,"",IF(('Additional Input'!$K$35)&gt;Projections!A165,'Additional Input'!$D$35*(1+IF('Additional Input'!$H$35=TRUE,'Additional Input'!$D$13,0))^Projections!A165,0)+IF(('Additional Input'!$K$36)&gt;Projections!A165,'Additional Input'!$D$36*(1+IF('Additional Input'!$H$36=TRUE,'Additional Input'!$D$13,0))^Projections!A165,0)-IF(('Additional Input'!$K$40)&gt;A165,'Additional Input'!$D$40*(1+IF('Additional Input'!$H$39=TRUE,'Additional Input'!$D$13,0))^A165,0)+IF(('Additional Input'!$F$37-'Additional Input'!$N$9)&lt;=Projections!A165,'Additional Input'!$D$37*(1+IF('Additional Input'!$H$37=TRUE,'Additional Input'!$D$13,0))^IF('Additional Input'!$K$37=TRUE,Projections!A165,Projections!A165-('Additional Input'!$F$37-'Additional Input'!$N$9)),0)+Adjustments!C165)</f>
        <v>0</v>
      </c>
      <c r="O165" s="823">
        <f ca="1">IF(A165&gt;'Additional Input'!$E$11,"",IF(('Additional Input'!$N$9+Projections!$A165)&gt;=IF('Additional Input'!$K$44=TRUE,71,70),VLOOKUP(('Additional Input'!$N$9+Projections!$A165),UniformTable,2),0))</f>
        <v>14.1</v>
      </c>
      <c r="P165" s="822">
        <f ca="1">IF(A165&gt;'Additional Input'!$E$11,"",IF($O165=0,0,$F165/$O165))</f>
        <v>0</v>
      </c>
      <c r="Q165" s="178">
        <f ca="1">IF(A165&gt;'Additional Input'!$E$11,"",IF(IF('Additional Input'!$D$44=TRUE,IF($O165=0,0,$F165/$O165),IF('Additional Input'!$F$45-'Additional Input'!$N$9&lt;=Projections!$A165,IF($F165*(1+$F$4)&lt;'Additional Input'!$D$45*IF('Additional Input'!$H$45=TRUE,(1+'Additional Input'!$D$13)^IF('Additional Input'!$K$45=TRUE,$A165,$A165-('Additional Input'!$F$45-'Additional Input'!$N$9)),1),$F165*(1+$F$4),'Additional Input'!$D$45*IF('Additional Input'!$H$45=TRUE,(1+'Additional Input'!$D$13)^IF('Additional Input'!$K$45=TRUE,$A165,$A165-('Additional Input'!$F$45-'Additional Input'!$N$9)),1)),0))&lt;$P165,$P165,IF('Additional Input'!$D$44=TRUE,IF($O165=0,0,$F165/$O165),IF('Additional Input'!$F$45-'Additional Input'!$N$9&lt;=Projections!$A165,IF($F165*(1+$F$4)&lt;'Additional Input'!$D$45*IF('Additional Input'!$H$45=TRUE,(1+'Additional Input'!$D$13)^IF('Additional Input'!$K$45=TRUE,$A165,$A165-('Additional Input'!$F$45-'Additional Input'!$N$9)),1),$F165*(1+$F$4),'Additional Input'!$D$45*IF('Additional Input'!$H$45=TRUE,(1+'Additional Input'!$D$13)^IF('Additional Input'!$K$45=TRUE,$A165,$A165-('Additional Input'!$F$45-'Additional Input'!$N$9)),1)),0)))+Adjustments!D165)</f>
        <v>0</v>
      </c>
      <c r="R165" s="571">
        <f ca="1">IF(A165&gt;'Additional Input'!$E$11,"",-((N165+Q165)*'Additional Input'!$D$12)+Adjustments!E165)</f>
        <v>0</v>
      </c>
      <c r="S165" s="571">
        <f ca="1">IF(A165&gt;'Additional Input'!$E$11,"",IF($A165&gt;='Additional Input'!$D$19,-'Additional Input'!$D$18*(1+IF('Additional Input'!$F$18=TRUE,'Additional Input'!$D$13,0))^Projections!A165,0)-TaxTables!D57+Adjustments!F165)</f>
        <v>0</v>
      </c>
      <c r="T165" s="126">
        <f ca="1">IF(A165&gt;'Additional Input'!$E$11,"",N165+Q165+R165+S165)</f>
        <v>0</v>
      </c>
    </row>
    <row r="166" spans="1:20">
      <c r="A166" s="122">
        <f t="shared" si="6"/>
        <v>27</v>
      </c>
      <c r="B166" s="110" t="str">
        <f ca="1">IF(A166&gt;'Additional Input'!$E$11,"",IF('Additional Input'!$N$9="","",'Additional Input'!$N$9+Projections!A166)&amp;"/"&amp;IF('Additional Input'!$O$9="","",IF('Additional Input'!$O$9=0,"",'Additional Input'!$O$9+Projections!A166)))</f>
        <v>87/87</v>
      </c>
      <c r="C166" s="122">
        <f ca="1">IF(A166&gt;'Additional Input'!$E$11,"",+C165+1)</f>
        <v>27</v>
      </c>
      <c r="D166" s="159">
        <f ca="1">IF(A166&gt;'Additional Input'!$E$11,"",($D165*(1+'Additional Input'!$F$26))+$N165+$Q165+$R165+$S165)</f>
        <v>43250528.64205195</v>
      </c>
      <c r="E166" s="159">
        <f ca="1">IF(A166&gt;'Additional Input'!$E$11,"",E165*(1+'Additional Input'!$F$28))</f>
        <v>0</v>
      </c>
      <c r="F166" s="159">
        <f ca="1">IF(A166&gt;'Additional Input'!$E$11,"",($F165*(1+'Additional Input'!$F$27))-$Q165+IF(('Additional Input'!$K$40)&gt;A165,'Additional Input'!$D$40*(1+IF('Additional Input'!$H$40=TRUE,'Additional Input'!$D$13,0))^A165,0)+IF(('Additional Input'!$K$40)&gt;A165,'Additional Input'!$F$40*(1+IF('Additional Input'!$H$40=TRUE,'Additional Input'!$D$13,0))^A165,0))</f>
        <v>0</v>
      </c>
      <c r="G166" s="646">
        <f ca="1">IF(A166&gt;'Additional Input'!$E$11,"",-VLOOKUP(A166*12,Amortization,2))</f>
        <v>0</v>
      </c>
      <c r="H166" s="159">
        <f ca="1">IF(A166&gt;'Additional Input'!$E$11,"",IF(A166&lt;=Calculator!$F$7,Calculator!$D$7,0)+Calculator!$D$8)</f>
        <v>0</v>
      </c>
      <c r="I166" s="159">
        <f ca="1">IF(A166&gt;'Additional Input'!$E$11,"",D166+E166+F166+G166+H166)</f>
        <v>43250528.64205195</v>
      </c>
      <c r="J166" s="646">
        <f ca="1">IF(A166&gt;'Additional Input'!$E$11,"",0)</f>
        <v>0</v>
      </c>
      <c r="K166" s="159">
        <f ca="1">IF(A166&gt;'Additional Input'!$E$11,"",0)</f>
        <v>0</v>
      </c>
      <c r="L166" s="159">
        <f ca="1">IF(A166&gt;'Additional Input'!$E$11,"",J166+K166)</f>
        <v>0</v>
      </c>
      <c r="M166" s="126">
        <f ca="1">IF(A166&gt;'Additional Input'!$E$11,"",(D166*'Additional Input'!$F$26)+(E166*'Additional Input'!$F$28)+(F166*'Additional Input'!$F$27))</f>
        <v>1730021.1456820781</v>
      </c>
      <c r="N166" s="126">
        <f ca="1">IF(A166&gt;'Additional Input'!$E$11,"",IF(('Additional Input'!$K$35)&gt;Projections!A166,'Additional Input'!$D$35*(1+IF('Additional Input'!$H$35=TRUE,'Additional Input'!$D$13,0))^Projections!A166,0)+IF(('Additional Input'!$K$36)&gt;Projections!A166,'Additional Input'!$D$36*(1+IF('Additional Input'!$H$36=TRUE,'Additional Input'!$D$13,0))^Projections!A166,0)-IF(('Additional Input'!$K$40)&gt;A166,'Additional Input'!$D$40*(1+IF('Additional Input'!$H$39=TRUE,'Additional Input'!$D$13,0))^A166,0)+IF(('Additional Input'!$F$37-'Additional Input'!$N$9)&lt;=Projections!A166,'Additional Input'!$D$37*(1+IF('Additional Input'!$H$37=TRUE,'Additional Input'!$D$13,0))^IF('Additional Input'!$K$37=TRUE,Projections!A166,Projections!A166-('Additional Input'!$F$37-'Additional Input'!$N$9)),0)+Adjustments!C166)</f>
        <v>0</v>
      </c>
      <c r="O166" s="823">
        <f ca="1">IF(A166&gt;'Additional Input'!$E$11,"",IF(('Additional Input'!$N$9+Projections!$A166)&gt;=IF('Additional Input'!$K$44=TRUE,71,70),VLOOKUP(('Additional Input'!$N$9+Projections!$A166),UniformTable,2),0))</f>
        <v>13.4</v>
      </c>
      <c r="P166" s="822">
        <f ca="1">IF(A166&gt;'Additional Input'!$E$11,"",IF($O166=0,0,$F166/$O166))</f>
        <v>0</v>
      </c>
      <c r="Q166" s="178">
        <f ca="1">IF(A166&gt;'Additional Input'!$E$11,"",IF(IF('Additional Input'!$D$44=TRUE,IF($O166=0,0,$F166/$O166),IF('Additional Input'!$F$45-'Additional Input'!$N$9&lt;=Projections!$A166,IF($F166*(1+$F$4)&lt;'Additional Input'!$D$45*IF('Additional Input'!$H$45=TRUE,(1+'Additional Input'!$D$13)^IF('Additional Input'!$K$45=TRUE,$A166,$A166-('Additional Input'!$F$45-'Additional Input'!$N$9)),1),$F166*(1+$F$4),'Additional Input'!$D$45*IF('Additional Input'!$H$45=TRUE,(1+'Additional Input'!$D$13)^IF('Additional Input'!$K$45=TRUE,$A166,$A166-('Additional Input'!$F$45-'Additional Input'!$N$9)),1)),0))&lt;$P166,$P166,IF('Additional Input'!$D$44=TRUE,IF($O166=0,0,$F166/$O166),IF('Additional Input'!$F$45-'Additional Input'!$N$9&lt;=Projections!$A166,IF($F166*(1+$F$4)&lt;'Additional Input'!$D$45*IF('Additional Input'!$H$45=TRUE,(1+'Additional Input'!$D$13)^IF('Additional Input'!$K$45=TRUE,$A166,$A166-('Additional Input'!$F$45-'Additional Input'!$N$9)),1),$F166*(1+$F$4),'Additional Input'!$D$45*IF('Additional Input'!$H$45=TRUE,(1+'Additional Input'!$D$13)^IF('Additional Input'!$K$45=TRUE,$A166,$A166-('Additional Input'!$F$45-'Additional Input'!$N$9)),1)),0)))+Adjustments!D166)</f>
        <v>0</v>
      </c>
      <c r="R166" s="571">
        <f ca="1">IF(A166&gt;'Additional Input'!$E$11,"",-((N166+Q166)*'Additional Input'!$D$12)+Adjustments!E166)</f>
        <v>0</v>
      </c>
      <c r="S166" s="571">
        <f ca="1">IF(A166&gt;'Additional Input'!$E$11,"",IF($A166&gt;='Additional Input'!$D$19,-'Additional Input'!$D$18*(1+IF('Additional Input'!$F$18=TRUE,'Additional Input'!$D$13,0))^Projections!A166,0)-TaxTables!D58+Adjustments!F166)</f>
        <v>0</v>
      </c>
      <c r="T166" s="126">
        <f ca="1">IF(A166&gt;'Additional Input'!$E$11,"",N166+Q166+R166+S166)</f>
        <v>0</v>
      </c>
    </row>
    <row r="167" spans="1:20">
      <c r="A167" s="122">
        <f t="shared" si="6"/>
        <v>28</v>
      </c>
      <c r="B167" s="110" t="str">
        <f ca="1">IF(A167&gt;'Additional Input'!$E$11,"",IF('Additional Input'!$N$9="","",'Additional Input'!$N$9+Projections!A167)&amp;"/"&amp;IF('Additional Input'!$O$9="","",IF('Additional Input'!$O$9=0,"",'Additional Input'!$O$9+Projections!A167)))</f>
        <v>88/88</v>
      </c>
      <c r="C167" s="122">
        <f ca="1">IF(A167&gt;'Additional Input'!$E$11,"",+C166+1)</f>
        <v>28</v>
      </c>
      <c r="D167" s="159">
        <f ca="1">IF(A167&gt;'Additional Input'!$E$11,"",($D166*(1+'Additional Input'!$F$26))+$N166+$Q166+$R166+$S166)</f>
        <v>44980549.787734032</v>
      </c>
      <c r="E167" s="159">
        <f ca="1">IF(A167&gt;'Additional Input'!$E$11,"",E166*(1+'Additional Input'!$F$28))</f>
        <v>0</v>
      </c>
      <c r="F167" s="159">
        <f ca="1">IF(A167&gt;'Additional Input'!$E$11,"",($F166*(1+'Additional Input'!$F$27))-$Q166+IF(('Additional Input'!$K$40)&gt;A166,'Additional Input'!$D$40*(1+IF('Additional Input'!$H$40=TRUE,'Additional Input'!$D$13,0))^A166,0)+IF(('Additional Input'!$K$40)&gt;A166,'Additional Input'!$F$40*(1+IF('Additional Input'!$H$40=TRUE,'Additional Input'!$D$13,0))^A166,0))</f>
        <v>0</v>
      </c>
      <c r="G167" s="646">
        <f ca="1">IF(A167&gt;'Additional Input'!$E$11,"",-VLOOKUP(A167*12,Amortization,2))</f>
        <v>0</v>
      </c>
      <c r="H167" s="159">
        <f ca="1">IF(A167&gt;'Additional Input'!$E$11,"",IF(A167&lt;=Calculator!$F$7,Calculator!$D$7,0)+Calculator!$D$8)</f>
        <v>0</v>
      </c>
      <c r="I167" s="159">
        <f ca="1">IF(A167&gt;'Additional Input'!$E$11,"",D167+E167+F167+G167+H167)</f>
        <v>44980549.787734032</v>
      </c>
      <c r="J167" s="646">
        <f ca="1">IF(A167&gt;'Additional Input'!$E$11,"",0)</f>
        <v>0</v>
      </c>
      <c r="K167" s="159">
        <f ca="1">IF(A167&gt;'Additional Input'!$E$11,"",0)</f>
        <v>0</v>
      </c>
      <c r="L167" s="159">
        <f ca="1">IF(A167&gt;'Additional Input'!$E$11,"",J167+K167)</f>
        <v>0</v>
      </c>
      <c r="M167" s="126">
        <f ca="1">IF(A167&gt;'Additional Input'!$E$11,"",(D167*'Additional Input'!$F$26)+(E167*'Additional Input'!$F$28)+(F167*'Additional Input'!$F$27))</f>
        <v>1799221.9915093612</v>
      </c>
      <c r="N167" s="126">
        <f ca="1">IF(A167&gt;'Additional Input'!$E$11,"",IF(('Additional Input'!$K$35)&gt;Projections!A167,'Additional Input'!$D$35*(1+IF('Additional Input'!$H$35=TRUE,'Additional Input'!$D$13,0))^Projections!A167,0)+IF(('Additional Input'!$K$36)&gt;Projections!A167,'Additional Input'!$D$36*(1+IF('Additional Input'!$H$36=TRUE,'Additional Input'!$D$13,0))^Projections!A167,0)-IF(('Additional Input'!$K$40)&gt;A167,'Additional Input'!$D$40*(1+IF('Additional Input'!$H$39=TRUE,'Additional Input'!$D$13,0))^A167,0)+IF(('Additional Input'!$F$37-'Additional Input'!$N$9)&lt;=Projections!A167,'Additional Input'!$D$37*(1+IF('Additional Input'!$H$37=TRUE,'Additional Input'!$D$13,0))^IF('Additional Input'!$K$37=TRUE,Projections!A167,Projections!A167-('Additional Input'!$F$37-'Additional Input'!$N$9)),0)+Adjustments!C167)</f>
        <v>0</v>
      </c>
      <c r="O167" s="823">
        <f ca="1">IF(A167&gt;'Additional Input'!$E$11,"",IF(('Additional Input'!$N$9+Projections!$A167)&gt;=IF('Additional Input'!$K$44=TRUE,71,70),VLOOKUP(('Additional Input'!$N$9+Projections!$A167),UniformTable,2),0))</f>
        <v>12.7</v>
      </c>
      <c r="P167" s="822">
        <f ca="1">IF(A167&gt;'Additional Input'!$E$11,"",IF($O167=0,0,$F167/$O167))</f>
        <v>0</v>
      </c>
      <c r="Q167" s="178">
        <f ca="1">IF(A167&gt;'Additional Input'!$E$11,"",IF(IF('Additional Input'!$D$44=TRUE,IF($O167=0,0,$F167/$O167),IF('Additional Input'!$F$45-'Additional Input'!$N$9&lt;=Projections!$A167,IF($F167*(1+$F$4)&lt;'Additional Input'!$D$45*IF('Additional Input'!$H$45=TRUE,(1+'Additional Input'!$D$13)^IF('Additional Input'!$K$45=TRUE,$A167,$A167-('Additional Input'!$F$45-'Additional Input'!$N$9)),1),$F167*(1+$F$4),'Additional Input'!$D$45*IF('Additional Input'!$H$45=TRUE,(1+'Additional Input'!$D$13)^IF('Additional Input'!$K$45=TRUE,$A167,$A167-('Additional Input'!$F$45-'Additional Input'!$N$9)),1)),0))&lt;$P167,$P167,IF('Additional Input'!$D$44=TRUE,IF($O167=0,0,$F167/$O167),IF('Additional Input'!$F$45-'Additional Input'!$N$9&lt;=Projections!$A167,IF($F167*(1+$F$4)&lt;'Additional Input'!$D$45*IF('Additional Input'!$H$45=TRUE,(1+'Additional Input'!$D$13)^IF('Additional Input'!$K$45=TRUE,$A167,$A167-('Additional Input'!$F$45-'Additional Input'!$N$9)),1),$F167*(1+$F$4),'Additional Input'!$D$45*IF('Additional Input'!$H$45=TRUE,(1+'Additional Input'!$D$13)^IF('Additional Input'!$K$45=TRUE,$A167,$A167-('Additional Input'!$F$45-'Additional Input'!$N$9)),1)),0)))+Adjustments!D167)</f>
        <v>0</v>
      </c>
      <c r="R167" s="571">
        <f ca="1">IF(A167&gt;'Additional Input'!$E$11,"",-((N167+Q167)*'Additional Input'!$D$12)+Adjustments!E167)</f>
        <v>0</v>
      </c>
      <c r="S167" s="571">
        <f ca="1">IF(A167&gt;'Additional Input'!$E$11,"",IF($A167&gt;='Additional Input'!$D$19,-'Additional Input'!$D$18*(1+IF('Additional Input'!$F$18=TRUE,'Additional Input'!$D$13,0))^Projections!A167,0)-TaxTables!D59+Adjustments!F167)</f>
        <v>0</v>
      </c>
      <c r="T167" s="126">
        <f ca="1">IF(A167&gt;'Additional Input'!$E$11,"",N167+Q167+R167+S167)</f>
        <v>0</v>
      </c>
    </row>
    <row r="168" spans="1:20">
      <c r="A168" s="122">
        <f t="shared" si="6"/>
        <v>29</v>
      </c>
      <c r="B168" s="110" t="str">
        <f ca="1">IF(A168&gt;'Additional Input'!$E$11,"",IF('Additional Input'!$N$9="","",'Additional Input'!$N$9+Projections!A168)&amp;"/"&amp;IF('Additional Input'!$O$9="","",IF('Additional Input'!$O$9=0,"",'Additional Input'!$O$9+Projections!A168)))</f>
        <v>89/89</v>
      </c>
      <c r="C168" s="122">
        <f ca="1">IF(A168&gt;'Additional Input'!$E$11,"",+C167+1)</f>
        <v>29</v>
      </c>
      <c r="D168" s="855">
        <f ca="1">IF(A168&gt;'Additional Input'!$E$11,"",($D167*(1+'Additional Input'!$F$26))+$N167+$Q167+$R167+$S167)</f>
        <v>46779771.779243395</v>
      </c>
      <c r="E168" s="159">
        <f ca="1">IF(A168&gt;'Additional Input'!$E$11,"",E167*(1+'Additional Input'!$F$28))</f>
        <v>0</v>
      </c>
      <c r="F168" s="159">
        <f ca="1">IF(A168&gt;'Additional Input'!$E$11,"",($F167*(1+'Additional Input'!$F$27))-$Q167+IF(('Additional Input'!$K$40)&gt;A167,'Additional Input'!$D$40*(1+IF('Additional Input'!$H$40=TRUE,'Additional Input'!$D$13,0))^A167,0)+IF(('Additional Input'!$K$40)&gt;A167,'Additional Input'!$F$40*(1+IF('Additional Input'!$H$40=TRUE,'Additional Input'!$D$13,0))^A167,0))</f>
        <v>0</v>
      </c>
      <c r="G168" s="646">
        <f ca="1">IF(A168&gt;'Additional Input'!$E$11,"",-VLOOKUP(A168*12,Amortization,2))</f>
        <v>0</v>
      </c>
      <c r="H168" s="159">
        <f ca="1">IF(A168&gt;'Additional Input'!$E$11,"",IF(A168&lt;=Calculator!$F$7,Calculator!$D$7,0)+Calculator!$D$8)</f>
        <v>0</v>
      </c>
      <c r="I168" s="159">
        <f ca="1">IF(A168&gt;'Additional Input'!$E$11,"",D168+E168+F168+G168+H168)</f>
        <v>46779771.779243395</v>
      </c>
      <c r="J168" s="646">
        <f ca="1">IF(A168&gt;'Additional Input'!$E$11,"",0)</f>
        <v>0</v>
      </c>
      <c r="K168" s="159">
        <f ca="1">IF(A168&gt;'Additional Input'!$E$11,"",0)</f>
        <v>0</v>
      </c>
      <c r="L168" s="159">
        <f ca="1">IF(A168&gt;'Additional Input'!$E$11,"",J168+K168)</f>
        <v>0</v>
      </c>
      <c r="M168" s="126">
        <f ca="1">IF(A168&gt;'Additional Input'!$E$11,"",(D168*'Additional Input'!$F$26)+(E168*'Additional Input'!$F$28)+(F168*'Additional Input'!$F$27))</f>
        <v>1871190.8711697359</v>
      </c>
      <c r="N168" s="126">
        <f ca="1">IF(A168&gt;'Additional Input'!$E$11,"",IF(('Additional Input'!$K$35)&gt;Projections!A168,'Additional Input'!$D$35*(1+IF('Additional Input'!$H$35=TRUE,'Additional Input'!$D$13,0))^Projections!A168,0)+IF(('Additional Input'!$K$36)&gt;Projections!A168,'Additional Input'!$D$36*(1+IF('Additional Input'!$H$36=TRUE,'Additional Input'!$D$13,0))^Projections!A168,0)-IF(('Additional Input'!$K$40)&gt;A168,'Additional Input'!$D$40*(1+IF('Additional Input'!$H$39=TRUE,'Additional Input'!$D$13,0))^A168,0)+IF(('Additional Input'!$F$37-'Additional Input'!$N$9)&lt;=Projections!A168,'Additional Input'!$D$37*(1+IF('Additional Input'!$H$37=TRUE,'Additional Input'!$D$13,0))^IF('Additional Input'!$K$37=TRUE,Projections!A168,Projections!A168-('Additional Input'!$F$37-'Additional Input'!$N$9)),0)+Adjustments!C168)</f>
        <v>0</v>
      </c>
      <c r="O168" s="823">
        <f ca="1">IF(A168&gt;'Additional Input'!$E$11,"",IF(('Additional Input'!$N$9+Projections!$A168)&gt;=IF('Additional Input'!$K$44=TRUE,71,70),VLOOKUP(('Additional Input'!$N$9+Projections!$A168),UniformTable,2),0))</f>
        <v>12</v>
      </c>
      <c r="P168" s="822">
        <f ca="1">IF(A168&gt;'Additional Input'!$E$11,"",IF($O168=0,0,$F168/$O168))</f>
        <v>0</v>
      </c>
      <c r="Q168" s="178">
        <f ca="1">IF(A168&gt;'Additional Input'!$E$11,"",IF(IF('Additional Input'!$D$44=TRUE,IF($O168=0,0,$F168/$O168),IF('Additional Input'!$F$45-'Additional Input'!$N$9&lt;=Projections!$A168,IF($F168*(1+$F$4)&lt;'Additional Input'!$D$45*IF('Additional Input'!$H$45=TRUE,(1+'Additional Input'!$D$13)^IF('Additional Input'!$K$45=TRUE,$A168,$A168-('Additional Input'!$F$45-'Additional Input'!$N$9)),1),$F168*(1+$F$4),'Additional Input'!$D$45*IF('Additional Input'!$H$45=TRUE,(1+'Additional Input'!$D$13)^IF('Additional Input'!$K$45=TRUE,$A168,$A168-('Additional Input'!$F$45-'Additional Input'!$N$9)),1)),0))&lt;$P168,$P168,IF('Additional Input'!$D$44=TRUE,IF($O168=0,0,$F168/$O168),IF('Additional Input'!$F$45-'Additional Input'!$N$9&lt;=Projections!$A168,IF($F168*(1+$F$4)&lt;'Additional Input'!$D$45*IF('Additional Input'!$H$45=TRUE,(1+'Additional Input'!$D$13)^IF('Additional Input'!$K$45=TRUE,$A168,$A168-('Additional Input'!$F$45-'Additional Input'!$N$9)),1),$F168*(1+$F$4),'Additional Input'!$D$45*IF('Additional Input'!$H$45=TRUE,(1+'Additional Input'!$D$13)^IF('Additional Input'!$K$45=TRUE,$A168,$A168-('Additional Input'!$F$45-'Additional Input'!$N$9)),1)),0)))+Adjustments!D168)</f>
        <v>0</v>
      </c>
      <c r="R168" s="571">
        <f ca="1">IF(A168&gt;'Additional Input'!$E$11,"",-((N168+Q168)*'Additional Input'!$D$12)+Adjustments!E168)</f>
        <v>0</v>
      </c>
      <c r="S168" s="571">
        <f ca="1">IF(A168&gt;'Additional Input'!$E$11,"",IF($A168&gt;='Additional Input'!$D$19,-'Additional Input'!$D$18*(1+IF('Additional Input'!$F$18=TRUE,'Additional Input'!$D$13,0))^Projections!A168,0)-TaxTables!D60+Adjustments!F168)</f>
        <v>0</v>
      </c>
      <c r="T168" s="126">
        <f ca="1">IF(A168&gt;'Additional Input'!$E$11,"",N168+Q168+R168+S168)</f>
        <v>0</v>
      </c>
    </row>
    <row r="169" spans="1:20">
      <c r="A169" s="650">
        <f t="shared" si="6"/>
        <v>30</v>
      </c>
      <c r="B169" s="651" t="str">
        <f ca="1">IF(A169&gt;'Additional Input'!$E$11,"",IF('Additional Input'!$N$9="","",'Additional Input'!$N$9+Projections!A169)&amp;"/"&amp;IF('Additional Input'!$O$9="","",IF('Additional Input'!$O$9=0,"",'Additional Input'!$O$9+Projections!A169)))</f>
        <v>90/90</v>
      </c>
      <c r="C169" s="650">
        <f ca="1">IF(A169&gt;'Additional Input'!$E$11,"",+C168+1)</f>
        <v>30</v>
      </c>
      <c r="D169" s="721">
        <f ca="1">IF(A169&gt;'Additional Input'!$E$11,"",($D168*(1+'Additional Input'!$F$26))+$N168+$Q168+$R168+$S168)</f>
        <v>48650962.650413133</v>
      </c>
      <c r="E169" s="653">
        <f ca="1">IF(A169&gt;'Additional Input'!$E$11,"",E168*(1+'Additional Input'!$F$28))</f>
        <v>0</v>
      </c>
      <c r="F169" s="653">
        <f ca="1">IF(A169&gt;'Additional Input'!$E$11,"",($F168*(1+'Additional Input'!$F$27))-$Q168+IF(('Additional Input'!$K$40)&gt;A168,'Additional Input'!$D$40*(1+IF('Additional Input'!$H$40=TRUE,'Additional Input'!$D$13,0))^A168,0)+IF(('Additional Input'!$K$40)&gt;A168,'Additional Input'!$F$40*(1+IF('Additional Input'!$H$40=TRUE,'Additional Input'!$D$13,0))^A168,0))</f>
        <v>0</v>
      </c>
      <c r="G169" s="853">
        <f ca="1">IF(A169&gt;'Additional Input'!$E$11,"",-VLOOKUP(A169*12,Amortization,2))</f>
        <v>0</v>
      </c>
      <c r="H169" s="721">
        <f ca="1">IF(A169&gt;'Additional Input'!$E$11,"",IF(A169&lt;=Calculator!$F$7,Calculator!$D$7,0)+Calculator!$D$8)</f>
        <v>0</v>
      </c>
      <c r="I169" s="652">
        <f ca="1">IF(A169&gt;'Additional Input'!$E$11,"",D169+E169+F169+G169+H169)</f>
        <v>48650962.650413133</v>
      </c>
      <c r="J169" s="720">
        <f ca="1">IF(A169&gt;'Additional Input'!$E$11,"",0)</f>
        <v>0</v>
      </c>
      <c r="K169" s="721">
        <f ca="1">IF(A169&gt;'Additional Input'!$E$11,"",0)</f>
        <v>0</v>
      </c>
      <c r="L169" s="652">
        <f ca="1">IF(A169&gt;'Additional Input'!$E$11,"",J169+K169)</f>
        <v>0</v>
      </c>
      <c r="M169" s="654">
        <f ca="1">IF(A169&gt;'Additional Input'!$E$11,"",(D169*'Additional Input'!$F$26)+(E169*'Additional Input'!$F$28)+(F169*'Additional Input'!$F$27))</f>
        <v>1946038.5060165254</v>
      </c>
      <c r="N169" s="655">
        <f ca="1">IF(A169&gt;'Additional Input'!$E$11,"",IF(('Additional Input'!$K$35)&gt;Projections!A169,'Additional Input'!$D$35*(1+IF('Additional Input'!$H$35=TRUE,'Additional Input'!$D$13,0))^Projections!A169,0)+IF(('Additional Input'!$K$36)&gt;Projections!A169,'Additional Input'!$D$36*(1+IF('Additional Input'!$H$36=TRUE,'Additional Input'!$D$13,0))^Projections!A169,0)-IF(('Additional Input'!$K$40)&gt;A169,'Additional Input'!$D$40*(1+IF('Additional Input'!$H$39=TRUE,'Additional Input'!$D$13,0))^A169,0)+IF(('Additional Input'!$F$37-'Additional Input'!$N$9)&lt;=Projections!A169,'Additional Input'!$D$37*(1+IF('Additional Input'!$H$37=TRUE,'Additional Input'!$D$13,0))^IF('Additional Input'!$K$37=TRUE,Projections!A169,Projections!A169-('Additional Input'!$F$37-'Additional Input'!$N$9)),0)+Adjustments!C169)</f>
        <v>0</v>
      </c>
      <c r="O169" s="824">
        <f ca="1">IF(A169&gt;'Additional Input'!$E$11,"",IF(('Additional Input'!$N$9+Projections!$A169)&gt;=IF('Additional Input'!$K$44=TRUE,71,70),VLOOKUP(('Additional Input'!$N$9+Projections!$A169),UniformTable,2),0))</f>
        <v>11.4</v>
      </c>
      <c r="P169" s="825">
        <f ca="1">IF(A169&gt;'Additional Input'!$E$11,"",IF($O169=0,0,$F169/$O169))</f>
        <v>0</v>
      </c>
      <c r="Q169" s="655">
        <f ca="1">IF(A169&gt;'Additional Input'!$E$11,"",IF(IF('Additional Input'!$D$44=TRUE,IF($O169=0,0,$F169/$O169),IF('Additional Input'!$F$45-'Additional Input'!$N$9&lt;=Projections!$A169,IF($F169*(1+$F$4)&lt;'Additional Input'!$D$45*IF('Additional Input'!$H$45=TRUE,(1+'Additional Input'!$D$13)^IF('Additional Input'!$K$45=TRUE,$A169,$A169-('Additional Input'!$F$45-'Additional Input'!$N$9)),1),$F169*(1+$F$4),'Additional Input'!$D$45*IF('Additional Input'!$H$45=TRUE,(1+'Additional Input'!$D$13)^IF('Additional Input'!$K$45=TRUE,$A169,$A169-('Additional Input'!$F$45-'Additional Input'!$N$9)),1)),0))&lt;$P169,$P169,IF('Additional Input'!$D$44=TRUE,IF($O169=0,0,$F169/$O169),IF('Additional Input'!$F$45-'Additional Input'!$N$9&lt;=Projections!$A169,IF($F169*(1+$F$4)&lt;'Additional Input'!$D$45*IF('Additional Input'!$H$45=TRUE,(1+'Additional Input'!$D$13)^IF('Additional Input'!$K$45=TRUE,$A169,$A169-('Additional Input'!$F$45-'Additional Input'!$N$9)),1),$F169*(1+$F$4),'Additional Input'!$D$45*IF('Additional Input'!$H$45=TRUE,(1+'Additional Input'!$D$13)^IF('Additional Input'!$K$45=TRUE,$A169,$A169-('Additional Input'!$F$45-'Additional Input'!$N$9)),1)),0)))+Adjustments!D169)</f>
        <v>0</v>
      </c>
      <c r="R169" s="656">
        <f ca="1">IF(A169&gt;'Additional Input'!$E$11,"",-((N169+Q169)*'Additional Input'!$D$12)+Adjustments!E169)</f>
        <v>0</v>
      </c>
      <c r="S169" s="656">
        <f ca="1">IF(A169&gt;'Additional Input'!$E$11,"",IF($A169&gt;='Additional Input'!$D$19,-'Additional Input'!$D$18*(1+IF('Additional Input'!$F$18=TRUE,'Additional Input'!$D$13,0))^Projections!A169,0)-TaxTables!D61+Adjustments!F169)</f>
        <v>0</v>
      </c>
      <c r="T169" s="654">
        <f ca="1">IF(A169&gt;'Additional Input'!$E$11,"",N169+Q169+R169+S169)</f>
        <v>0</v>
      </c>
    </row>
    <row r="170" spans="1:20">
      <c r="A170" s="122">
        <f t="shared" si="6"/>
        <v>31</v>
      </c>
      <c r="B170" s="110" t="str">
        <f ca="1">IF(A170&gt;'Additional Input'!$E$11,"",IF('Additional Input'!$N$9="","",'Additional Input'!$N$9+Projections!A170)&amp;"/"&amp;IF('Additional Input'!$O$9="","",IF('Additional Input'!$O$9=0,"",'Additional Input'!$O$9+Projections!A170)))</f>
        <v/>
      </c>
      <c r="C170" s="122" t="str">
        <f ca="1">IF(A170&gt;'Additional Input'!$E$11,"",+C169+1)</f>
        <v/>
      </c>
      <c r="D170" s="159" t="str">
        <f ca="1">IF(A170&gt;'Additional Input'!$E$11,"",($D169*(1+'Additional Input'!$F$26))+$N169+$Q169+$R169+$S169)</f>
        <v/>
      </c>
      <c r="E170" s="159" t="str">
        <f ca="1">IF(A170&gt;'Additional Input'!$E$11,"",E169*(1+'Additional Input'!$F$28))</f>
        <v/>
      </c>
      <c r="F170" s="159" t="str">
        <f ca="1">IF(A170&gt;'Additional Input'!$E$11,"",($F169*(1+'Additional Input'!$F$27))-$Q169+IF(('Additional Input'!$K$40)&gt;A169,'Additional Input'!$D$40*(1+IF('Additional Input'!$H$40=TRUE,'Additional Input'!$D$13,0))^A169,0)+IF(('Additional Input'!$K$40)&gt;A169,'Additional Input'!$F$40*(1+IF('Additional Input'!$H$40=TRUE,'Additional Input'!$D$13,0))^A169,0))</f>
        <v/>
      </c>
      <c r="G170" s="646" t="str">
        <f ca="1">IF(A170&gt;'Additional Input'!$E$11,"",-VLOOKUP(A170*12,Amortization,2))</f>
        <v/>
      </c>
      <c r="H170" s="159" t="str">
        <f ca="1">IF(A170&gt;'Additional Input'!$E$11,"",IF(A170&lt;=Calculator!$F$7,Calculator!$D$7,0)+Calculator!$D$8)</f>
        <v/>
      </c>
      <c r="I170" s="159" t="str">
        <f ca="1">IF(A170&gt;'Additional Input'!$E$11,"",D170+E170+F170+G170+H170)</f>
        <v/>
      </c>
      <c r="J170" s="646" t="str">
        <f ca="1">IF(A170&gt;'Additional Input'!$E$11,"",0)</f>
        <v/>
      </c>
      <c r="K170" s="159" t="str">
        <f ca="1">IF(A170&gt;'Additional Input'!$E$11,"",0)</f>
        <v/>
      </c>
      <c r="L170" s="159" t="str">
        <f ca="1">IF(A170&gt;'Additional Input'!$E$11,"",J170+K170)</f>
        <v/>
      </c>
      <c r="M170" s="126" t="str">
        <f ca="1">IF(A170&gt;'Additional Input'!$E$11,"",(D170*'Additional Input'!$F$26)+(E170*'Additional Input'!$F$28)+(F170*'Additional Input'!$F$27))</f>
        <v/>
      </c>
      <c r="N170" s="126" t="str">
        <f ca="1">IF(A170&gt;'Additional Input'!$E$11,"",IF(('Additional Input'!$K$35)&gt;Projections!A170,'Additional Input'!$D$35*(1+IF('Additional Input'!$H$35=TRUE,'Additional Input'!$D$13,0))^Projections!A170,0)+IF(('Additional Input'!$K$36)&gt;Projections!A170,'Additional Input'!$D$36*(1+IF('Additional Input'!$H$36=TRUE,'Additional Input'!$D$13,0))^Projections!A170,0)-IF(('Additional Input'!$K$40)&gt;A170,'Additional Input'!$D$40*(1+IF('Additional Input'!$H$39=TRUE,'Additional Input'!$D$13,0))^A170,0)+IF(('Additional Input'!$F$37-'Additional Input'!$N$9)&lt;=Projections!A170,'Additional Input'!$D$37*(1+IF('Additional Input'!$H$37=TRUE,'Additional Input'!$D$13,0))^IF('Additional Input'!$K$37=TRUE,Projections!A170,Projections!A170-('Additional Input'!$F$37-'Additional Input'!$N$9)),0)+Adjustments!C170)</f>
        <v/>
      </c>
      <c r="O170" s="823" t="str">
        <f ca="1">IF(A170&gt;'Additional Input'!$E$11,"",IF(('Additional Input'!$N$9+Projections!$A170)&gt;=IF('Additional Input'!$K$44=TRUE,71,70),VLOOKUP(('Additional Input'!$N$9+Projections!$A170),UniformTable,2),0))</f>
        <v/>
      </c>
      <c r="P170" s="822" t="str">
        <f ca="1">IF(A170&gt;'Additional Input'!$E$11,"",IF($O170=0,0,$F170/$O170))</f>
        <v/>
      </c>
      <c r="Q170" s="178" t="str">
        <f ca="1">IF(A170&gt;'Additional Input'!$E$11,"",IF(IF('Additional Input'!$D$44=TRUE,IF($O170=0,0,$F170/$O170),IF('Additional Input'!$F$45-'Additional Input'!$N$9&lt;=Projections!$A170,IF($F170*(1+$F$4)&lt;'Additional Input'!$D$45*IF('Additional Input'!$H$45=TRUE,(1+'Additional Input'!$D$13)^IF('Additional Input'!$K$45=TRUE,$A170,$A170-('Additional Input'!$F$45-'Additional Input'!$N$9)),1),$F170*(1+$F$4),'Additional Input'!$D$45*IF('Additional Input'!$H$45=TRUE,(1+'Additional Input'!$D$13)^IF('Additional Input'!$K$45=TRUE,$A170,$A170-('Additional Input'!$F$45-'Additional Input'!$N$9)),1)),0))&lt;$P170,$P170,IF('Additional Input'!$D$44=TRUE,IF($O170=0,0,$F170/$O170),IF('Additional Input'!$F$45-'Additional Input'!$N$9&lt;=Projections!$A170,IF($F170*(1+$F$4)&lt;'Additional Input'!$D$45*IF('Additional Input'!$H$45=TRUE,(1+'Additional Input'!$D$13)^IF('Additional Input'!$K$45=TRUE,$A170,$A170-('Additional Input'!$F$45-'Additional Input'!$N$9)),1),$F170*(1+$F$4),'Additional Input'!$D$45*IF('Additional Input'!$H$45=TRUE,(1+'Additional Input'!$D$13)^IF('Additional Input'!$K$45=TRUE,$A170,$A170-('Additional Input'!$F$45-'Additional Input'!$N$9)),1)),0)))+Adjustments!D170)</f>
        <v/>
      </c>
      <c r="R170" s="571" t="str">
        <f ca="1">IF(A170&gt;'Additional Input'!$E$11,"",-((N170+Q170)*'Additional Input'!$D$12)+Adjustments!E170)</f>
        <v/>
      </c>
      <c r="S170" s="571" t="str">
        <f ca="1">IF(A170&gt;'Additional Input'!$E$11,"",IF($A170&gt;='Additional Input'!$D$19,-'Additional Input'!$D$18*(1+IF('Additional Input'!$F$18=TRUE,'Additional Input'!$D$13,0))^Projections!A170,0)-TaxTables!D62+Adjustments!F170)</f>
        <v/>
      </c>
      <c r="T170" s="126" t="str">
        <f ca="1">IF(A170&gt;'Additional Input'!$E$11,"",N170+Q170+R170+S170)</f>
        <v/>
      </c>
    </row>
    <row r="171" spans="1:20">
      <c r="A171" s="122">
        <f t="shared" si="6"/>
        <v>32</v>
      </c>
      <c r="B171" s="110" t="str">
        <f ca="1">IF(A171&gt;'Additional Input'!$E$11,"",IF('Additional Input'!$N$9="","",'Additional Input'!$N$9+Projections!A171)&amp;"/"&amp;IF('Additional Input'!$O$9="","",IF('Additional Input'!$O$9=0,"",'Additional Input'!$O$9+Projections!A171)))</f>
        <v/>
      </c>
      <c r="C171" s="122" t="str">
        <f ca="1">IF(A171&gt;'Additional Input'!$E$11,"",+C170+1)</f>
        <v/>
      </c>
      <c r="D171" s="159" t="str">
        <f ca="1">IF(A171&gt;'Additional Input'!$E$11,"",($D170*(1+'Additional Input'!$F$26))+$N170+$Q170+$R170+$S170)</f>
        <v/>
      </c>
      <c r="E171" s="159" t="str">
        <f ca="1">IF(A171&gt;'Additional Input'!$E$11,"",E170*(1+'Additional Input'!$F$28))</f>
        <v/>
      </c>
      <c r="F171" s="159" t="str">
        <f ca="1">IF(A171&gt;'Additional Input'!$E$11,"",($F170*(1+'Additional Input'!$F$27))-$Q170+IF(('Additional Input'!$K$40)&gt;A170,'Additional Input'!$D$40*(1+IF('Additional Input'!$H$40=TRUE,'Additional Input'!$D$13,0))^A170,0)+IF(('Additional Input'!$K$40)&gt;A170,'Additional Input'!$F$40*(1+IF('Additional Input'!$H$40=TRUE,'Additional Input'!$D$13,0))^A170,0))</f>
        <v/>
      </c>
      <c r="G171" s="646" t="str">
        <f ca="1">IF(A171&gt;'Additional Input'!$E$11,"",-VLOOKUP(A171*12,Amortization,2))</f>
        <v/>
      </c>
      <c r="H171" s="159" t="str">
        <f ca="1">IF(A171&gt;'Additional Input'!$E$11,"",IF(A171&lt;=Calculator!$F$7,Calculator!$D$7,0)+Calculator!$D$8)</f>
        <v/>
      </c>
      <c r="I171" s="159" t="str">
        <f ca="1">IF(A171&gt;'Additional Input'!$E$11,"",D171+E171+F171+G171+H171)</f>
        <v/>
      </c>
      <c r="J171" s="646" t="str">
        <f ca="1">IF(A171&gt;'Additional Input'!$E$11,"",0)</f>
        <v/>
      </c>
      <c r="K171" s="159" t="str">
        <f ca="1">IF(A171&gt;'Additional Input'!$E$11,"",0)</f>
        <v/>
      </c>
      <c r="L171" s="159" t="str">
        <f ca="1">IF(A171&gt;'Additional Input'!$E$11,"",J171+K171)</f>
        <v/>
      </c>
      <c r="M171" s="126" t="str">
        <f ca="1">IF(A171&gt;'Additional Input'!$E$11,"",(D171*'Additional Input'!$F$26)+(E171*'Additional Input'!$F$28)+(F171*'Additional Input'!$F$27))</f>
        <v/>
      </c>
      <c r="N171" s="126" t="str">
        <f ca="1">IF(A171&gt;'Additional Input'!$E$11,"",IF(('Additional Input'!$K$35)&gt;Projections!A171,'Additional Input'!$D$35*(1+IF('Additional Input'!$H$35=TRUE,'Additional Input'!$D$13,0))^Projections!A171,0)+IF(('Additional Input'!$K$36)&gt;Projections!A171,'Additional Input'!$D$36*(1+IF('Additional Input'!$H$36=TRUE,'Additional Input'!$D$13,0))^Projections!A171,0)-IF(('Additional Input'!$K$40)&gt;A171,'Additional Input'!$D$40*(1+IF('Additional Input'!$H$39=TRUE,'Additional Input'!$D$13,0))^A171,0)+IF(('Additional Input'!$F$37-'Additional Input'!$N$9)&lt;=Projections!A171,'Additional Input'!$D$37*(1+IF('Additional Input'!$H$37=TRUE,'Additional Input'!$D$13,0))^IF('Additional Input'!$K$37=TRUE,Projections!A171,Projections!A171-('Additional Input'!$F$37-'Additional Input'!$N$9)),0)+Adjustments!C171)</f>
        <v/>
      </c>
      <c r="O171" s="823" t="str">
        <f ca="1">IF(A171&gt;'Additional Input'!$E$11,"",IF(('Additional Input'!$N$9+Projections!$A171)&gt;=IF('Additional Input'!$K$44=TRUE,71,70),VLOOKUP(('Additional Input'!$N$9+Projections!$A171),UniformTable,2),0))</f>
        <v/>
      </c>
      <c r="P171" s="822" t="str">
        <f ca="1">IF(A171&gt;'Additional Input'!$E$11,"",IF($O171=0,0,$F171/$O171))</f>
        <v/>
      </c>
      <c r="Q171" s="178" t="str">
        <f ca="1">IF(A171&gt;'Additional Input'!$E$11,"",IF(IF('Additional Input'!$D$44=TRUE,IF($O171=0,0,$F171/$O171),IF('Additional Input'!$F$45-'Additional Input'!$N$9&lt;=Projections!$A171,IF($F171*(1+$F$4)&lt;'Additional Input'!$D$45*IF('Additional Input'!$H$45=TRUE,(1+'Additional Input'!$D$13)^IF('Additional Input'!$K$45=TRUE,$A171,$A171-('Additional Input'!$F$45-'Additional Input'!$N$9)),1),$F171*(1+$F$4),'Additional Input'!$D$45*IF('Additional Input'!$H$45=TRUE,(1+'Additional Input'!$D$13)^IF('Additional Input'!$K$45=TRUE,$A171,$A171-('Additional Input'!$F$45-'Additional Input'!$N$9)),1)),0))&lt;$P171,$P171,IF('Additional Input'!$D$44=TRUE,IF($O171=0,0,$F171/$O171),IF('Additional Input'!$F$45-'Additional Input'!$N$9&lt;=Projections!$A171,IF($F171*(1+$F$4)&lt;'Additional Input'!$D$45*IF('Additional Input'!$H$45=TRUE,(1+'Additional Input'!$D$13)^IF('Additional Input'!$K$45=TRUE,$A171,$A171-('Additional Input'!$F$45-'Additional Input'!$N$9)),1),$F171*(1+$F$4),'Additional Input'!$D$45*IF('Additional Input'!$H$45=TRUE,(1+'Additional Input'!$D$13)^IF('Additional Input'!$K$45=TRUE,$A171,$A171-('Additional Input'!$F$45-'Additional Input'!$N$9)),1)),0)))+Adjustments!D171)</f>
        <v/>
      </c>
      <c r="R171" s="571" t="str">
        <f ca="1">IF(A171&gt;'Additional Input'!$E$11,"",-((N171+Q171)*'Additional Input'!$D$12)+Adjustments!E171)</f>
        <v/>
      </c>
      <c r="S171" s="571" t="str">
        <f ca="1">IF(A171&gt;'Additional Input'!$E$11,"",IF($A171&gt;='Additional Input'!$D$19,-'Additional Input'!$D$18*(1+IF('Additional Input'!$F$18=TRUE,'Additional Input'!$D$13,0))^Projections!A171,0)-TaxTables!D63+Adjustments!F171)</f>
        <v/>
      </c>
      <c r="T171" s="126" t="str">
        <f ca="1">IF(A171&gt;'Additional Input'!$E$11,"",N171+Q171+R171+S171)</f>
        <v/>
      </c>
    </row>
    <row r="172" spans="1:20">
      <c r="A172" s="122">
        <f t="shared" si="6"/>
        <v>33</v>
      </c>
      <c r="B172" s="110" t="str">
        <f ca="1">IF(A172&gt;'Additional Input'!$E$11,"",IF('Additional Input'!$N$9="","",'Additional Input'!$N$9+Projections!A172)&amp;"/"&amp;IF('Additional Input'!$O$9="","",IF('Additional Input'!$O$9=0,"",'Additional Input'!$O$9+Projections!A172)))</f>
        <v/>
      </c>
      <c r="C172" s="122" t="str">
        <f ca="1">IF(A172&gt;'Additional Input'!$E$11,"",+C171+1)</f>
        <v/>
      </c>
      <c r="D172" s="159" t="str">
        <f ca="1">IF(A172&gt;'Additional Input'!$E$11,"",($D171*(1+'Additional Input'!$F$26))+$N171+$Q171+$R171+$S171)</f>
        <v/>
      </c>
      <c r="E172" s="159" t="str">
        <f ca="1">IF(A172&gt;'Additional Input'!$E$11,"",E171*(1+'Additional Input'!$F$28))</f>
        <v/>
      </c>
      <c r="F172" s="159" t="str">
        <f ca="1">IF(A172&gt;'Additional Input'!$E$11,"",($F171*(1+'Additional Input'!$F$27))-$Q171+IF(('Additional Input'!$K$40)&gt;A171,'Additional Input'!$D$40*(1+IF('Additional Input'!$H$40=TRUE,'Additional Input'!$D$13,0))^A171,0)+IF(('Additional Input'!$K$40)&gt;A171,'Additional Input'!$F$40*(1+IF('Additional Input'!$H$40=TRUE,'Additional Input'!$D$13,0))^A171,0))</f>
        <v/>
      </c>
      <c r="G172" s="646" t="str">
        <f ca="1">IF(A172&gt;'Additional Input'!$E$11,"",-VLOOKUP(A172*12,Amortization,2))</f>
        <v/>
      </c>
      <c r="H172" s="159" t="str">
        <f ca="1">IF(A172&gt;'Additional Input'!$E$11,"",IF(A172&lt;=Calculator!$F$7,Calculator!$D$7,0)+Calculator!$D$8)</f>
        <v/>
      </c>
      <c r="I172" s="159" t="str">
        <f ca="1">IF(A172&gt;'Additional Input'!$E$11,"",D172+E172+F172+G172+H172)</f>
        <v/>
      </c>
      <c r="J172" s="646" t="str">
        <f ca="1">IF(A172&gt;'Additional Input'!$E$11,"",0)</f>
        <v/>
      </c>
      <c r="K172" s="159" t="str">
        <f ca="1">IF(A172&gt;'Additional Input'!$E$11,"",0)</f>
        <v/>
      </c>
      <c r="L172" s="159" t="str">
        <f ca="1">IF(A172&gt;'Additional Input'!$E$11,"",J172+K172)</f>
        <v/>
      </c>
      <c r="M172" s="126" t="str">
        <f ca="1">IF(A172&gt;'Additional Input'!$E$11,"",(D172*'Additional Input'!$F$26)+(E172*'Additional Input'!$F$28)+(F172*'Additional Input'!$F$27))</f>
        <v/>
      </c>
      <c r="N172" s="126" t="str">
        <f ca="1">IF(A172&gt;'Additional Input'!$E$11,"",IF(('Additional Input'!$K$35)&gt;Projections!A172,'Additional Input'!$D$35*(1+IF('Additional Input'!$H$35=TRUE,'Additional Input'!$D$13,0))^Projections!A172,0)+IF(('Additional Input'!$K$36)&gt;Projections!A172,'Additional Input'!$D$36*(1+IF('Additional Input'!$H$36=TRUE,'Additional Input'!$D$13,0))^Projections!A172,0)-IF(('Additional Input'!$K$40)&gt;A172,'Additional Input'!$D$40*(1+IF('Additional Input'!$H$39=TRUE,'Additional Input'!$D$13,0))^A172,0)+IF(('Additional Input'!$F$37-'Additional Input'!$N$9)&lt;=Projections!A172,'Additional Input'!$D$37*(1+IF('Additional Input'!$H$37=TRUE,'Additional Input'!$D$13,0))^IF('Additional Input'!$K$37=TRUE,Projections!A172,Projections!A172-('Additional Input'!$F$37-'Additional Input'!$N$9)),0)+Adjustments!C172)</f>
        <v/>
      </c>
      <c r="O172" s="823" t="str">
        <f ca="1">IF(A172&gt;'Additional Input'!$E$11,"",IF(('Additional Input'!$N$9+Projections!$A172)&gt;=IF('Additional Input'!$K$44=TRUE,71,70),VLOOKUP(('Additional Input'!$N$9+Projections!$A172),UniformTable,2),0))</f>
        <v/>
      </c>
      <c r="P172" s="822" t="str">
        <f ca="1">IF(A172&gt;'Additional Input'!$E$11,"",IF($O172=0,0,$F172/$O172))</f>
        <v/>
      </c>
      <c r="Q172" s="178" t="str">
        <f ca="1">IF(A172&gt;'Additional Input'!$E$11,"",IF(IF('Additional Input'!$D$44=TRUE,IF($O172=0,0,$F172/$O172),IF('Additional Input'!$F$45-'Additional Input'!$N$9&lt;=Projections!$A172,IF($F172*(1+$F$4)&lt;'Additional Input'!$D$45*IF('Additional Input'!$H$45=TRUE,(1+'Additional Input'!$D$13)^IF('Additional Input'!$K$45=TRUE,$A172,$A172-('Additional Input'!$F$45-'Additional Input'!$N$9)),1),$F172*(1+$F$4),'Additional Input'!$D$45*IF('Additional Input'!$H$45=TRUE,(1+'Additional Input'!$D$13)^IF('Additional Input'!$K$45=TRUE,$A172,$A172-('Additional Input'!$F$45-'Additional Input'!$N$9)),1)),0))&lt;$P172,$P172,IF('Additional Input'!$D$44=TRUE,IF($O172=0,0,$F172/$O172),IF('Additional Input'!$F$45-'Additional Input'!$N$9&lt;=Projections!$A172,IF($F172*(1+$F$4)&lt;'Additional Input'!$D$45*IF('Additional Input'!$H$45=TRUE,(1+'Additional Input'!$D$13)^IF('Additional Input'!$K$45=TRUE,$A172,$A172-('Additional Input'!$F$45-'Additional Input'!$N$9)),1),$F172*(1+$F$4),'Additional Input'!$D$45*IF('Additional Input'!$H$45=TRUE,(1+'Additional Input'!$D$13)^IF('Additional Input'!$K$45=TRUE,$A172,$A172-('Additional Input'!$F$45-'Additional Input'!$N$9)),1)),0)))+Adjustments!D172)</f>
        <v/>
      </c>
      <c r="R172" s="571" t="str">
        <f ca="1">IF(A172&gt;'Additional Input'!$E$11,"",-((N172+Q172)*'Additional Input'!$D$12)+Adjustments!E172)</f>
        <v/>
      </c>
      <c r="S172" s="571" t="str">
        <f ca="1">IF(A172&gt;'Additional Input'!$E$11,"",IF($A172&gt;='Additional Input'!$D$19,-'Additional Input'!$D$18*(1+IF('Additional Input'!$F$18=TRUE,'Additional Input'!$D$13,0))^Projections!A172,0)-TaxTables!D64+Adjustments!F172)</f>
        <v/>
      </c>
      <c r="T172" s="126" t="str">
        <f ca="1">IF(A172&gt;'Additional Input'!$E$11,"",N172+Q172+R172+S172)</f>
        <v/>
      </c>
    </row>
    <row r="173" spans="1:20">
      <c r="A173" s="122">
        <f t="shared" si="6"/>
        <v>34</v>
      </c>
      <c r="B173" s="110" t="str">
        <f ca="1">IF(A173&gt;'Additional Input'!$E$11,"",IF('Additional Input'!$N$9="","",'Additional Input'!$N$9+Projections!A173)&amp;"/"&amp;IF('Additional Input'!$O$9="","",IF('Additional Input'!$O$9=0,"",'Additional Input'!$O$9+Projections!A173)))</f>
        <v/>
      </c>
      <c r="C173" s="122" t="str">
        <f ca="1">IF(A173&gt;'Additional Input'!$E$11,"",+C172+1)</f>
        <v/>
      </c>
      <c r="D173" s="159" t="str">
        <f ca="1">IF(A173&gt;'Additional Input'!$E$11,"",($D172*(1+'Additional Input'!$F$26))+$N172+$Q172+$R172+$S172)</f>
        <v/>
      </c>
      <c r="E173" s="159" t="str">
        <f ca="1">IF(A173&gt;'Additional Input'!$E$11,"",E172*(1+'Additional Input'!$F$28))</f>
        <v/>
      </c>
      <c r="F173" s="159" t="str">
        <f ca="1">IF(A173&gt;'Additional Input'!$E$11,"",($F172*(1+'Additional Input'!$F$27))-$Q172+IF(('Additional Input'!$K$40)&gt;A172,'Additional Input'!$D$40*(1+IF('Additional Input'!$H$40=TRUE,'Additional Input'!$D$13,0))^A172,0)+IF(('Additional Input'!$K$40)&gt;A172,'Additional Input'!$F$40*(1+IF('Additional Input'!$H$40=TRUE,'Additional Input'!$D$13,0))^A172,0))</f>
        <v/>
      </c>
      <c r="G173" s="646" t="str">
        <f ca="1">IF(A173&gt;'Additional Input'!$E$11,"",-VLOOKUP(A173*12,Amortization,2))</f>
        <v/>
      </c>
      <c r="H173" s="159" t="str">
        <f ca="1">IF(A173&gt;'Additional Input'!$E$11,"",IF(A173&lt;=Calculator!$F$7,Calculator!$D$7,0)+Calculator!$D$8)</f>
        <v/>
      </c>
      <c r="I173" s="159" t="str">
        <f ca="1">IF(A173&gt;'Additional Input'!$E$11,"",D173+E173+F173+G173+H173)</f>
        <v/>
      </c>
      <c r="J173" s="646" t="str">
        <f ca="1">IF(A173&gt;'Additional Input'!$E$11,"",0)</f>
        <v/>
      </c>
      <c r="K173" s="159" t="str">
        <f ca="1">IF(A173&gt;'Additional Input'!$E$11,"",0)</f>
        <v/>
      </c>
      <c r="L173" s="159" t="str">
        <f ca="1">IF(A173&gt;'Additional Input'!$E$11,"",J173+K173)</f>
        <v/>
      </c>
      <c r="M173" s="126" t="str">
        <f ca="1">IF(A173&gt;'Additional Input'!$E$11,"",(D173*'Additional Input'!$F$26)+(E173*'Additional Input'!$F$28)+(F173*'Additional Input'!$F$27))</f>
        <v/>
      </c>
      <c r="N173" s="126" t="str">
        <f ca="1">IF(A173&gt;'Additional Input'!$E$11,"",IF(('Additional Input'!$K$35)&gt;Projections!A173,'Additional Input'!$D$35*(1+IF('Additional Input'!$H$35=TRUE,'Additional Input'!$D$13,0))^Projections!A173,0)+IF(('Additional Input'!$K$36)&gt;Projections!A173,'Additional Input'!$D$36*(1+IF('Additional Input'!$H$36=TRUE,'Additional Input'!$D$13,0))^Projections!A173,0)-IF(('Additional Input'!$K$40)&gt;A173,'Additional Input'!$D$40*(1+IF('Additional Input'!$H$39=TRUE,'Additional Input'!$D$13,0))^A173,0)+IF(('Additional Input'!$F$37-'Additional Input'!$N$9)&lt;=Projections!A173,'Additional Input'!$D$37*(1+IF('Additional Input'!$H$37=TRUE,'Additional Input'!$D$13,0))^IF('Additional Input'!$K$37=TRUE,Projections!A173,Projections!A173-('Additional Input'!$F$37-'Additional Input'!$N$9)),0)+Adjustments!C173)</f>
        <v/>
      </c>
      <c r="O173" s="823" t="str">
        <f ca="1">IF(A173&gt;'Additional Input'!$E$11,"",IF(('Additional Input'!$N$9+Projections!$A173)&gt;=IF('Additional Input'!$K$44=TRUE,71,70),VLOOKUP(('Additional Input'!$N$9+Projections!$A173),UniformTable,2),0))</f>
        <v/>
      </c>
      <c r="P173" s="822" t="str">
        <f ca="1">IF(A173&gt;'Additional Input'!$E$11,"",IF($O173=0,0,$F173/$O173))</f>
        <v/>
      </c>
      <c r="Q173" s="178" t="str">
        <f ca="1">IF(A173&gt;'Additional Input'!$E$11,"",IF(IF('Additional Input'!$D$44=TRUE,IF($O173=0,0,$F173/$O173),IF('Additional Input'!$F$45-'Additional Input'!$N$9&lt;=Projections!$A173,IF($F173*(1+$F$4)&lt;'Additional Input'!$D$45*IF('Additional Input'!$H$45=TRUE,(1+'Additional Input'!$D$13)^IF('Additional Input'!$K$45=TRUE,$A173,$A173-('Additional Input'!$F$45-'Additional Input'!$N$9)),1),$F173*(1+$F$4),'Additional Input'!$D$45*IF('Additional Input'!$H$45=TRUE,(1+'Additional Input'!$D$13)^IF('Additional Input'!$K$45=TRUE,$A173,$A173-('Additional Input'!$F$45-'Additional Input'!$N$9)),1)),0))&lt;$P173,$P173,IF('Additional Input'!$D$44=TRUE,IF($O173=0,0,$F173/$O173),IF('Additional Input'!$F$45-'Additional Input'!$N$9&lt;=Projections!$A173,IF($F173*(1+$F$4)&lt;'Additional Input'!$D$45*IF('Additional Input'!$H$45=TRUE,(1+'Additional Input'!$D$13)^IF('Additional Input'!$K$45=TRUE,$A173,$A173-('Additional Input'!$F$45-'Additional Input'!$N$9)),1),$F173*(1+$F$4),'Additional Input'!$D$45*IF('Additional Input'!$H$45=TRUE,(1+'Additional Input'!$D$13)^IF('Additional Input'!$K$45=TRUE,$A173,$A173-('Additional Input'!$F$45-'Additional Input'!$N$9)),1)),0)))+Adjustments!D173)</f>
        <v/>
      </c>
      <c r="R173" s="571" t="str">
        <f ca="1">IF(A173&gt;'Additional Input'!$E$11,"",-((N173+Q173)*'Additional Input'!$D$12)+Adjustments!E173)</f>
        <v/>
      </c>
      <c r="S173" s="571" t="str">
        <f ca="1">IF(A173&gt;'Additional Input'!$E$11,"",IF($A173&gt;='Additional Input'!$D$19,-'Additional Input'!$D$18*(1+IF('Additional Input'!$F$18=TRUE,'Additional Input'!$D$13,0))^Projections!A173,0)-TaxTables!D65+Adjustments!F173)</f>
        <v/>
      </c>
      <c r="T173" s="126" t="str">
        <f ca="1">IF(A173&gt;'Additional Input'!$E$11,"",N173+Q173+R173+S173)</f>
        <v/>
      </c>
    </row>
    <row r="174" spans="1:20">
      <c r="A174" s="650">
        <f t="shared" si="6"/>
        <v>35</v>
      </c>
      <c r="B174" s="651" t="str">
        <f ca="1">IF(A174&gt;'Additional Input'!$E$11,"",IF('Additional Input'!$N$9="","",'Additional Input'!$N$9+Projections!A174)&amp;"/"&amp;IF('Additional Input'!$O$9="","",IF('Additional Input'!$O$9=0,"",'Additional Input'!$O$9+Projections!A174)))</f>
        <v/>
      </c>
      <c r="C174" s="650" t="str">
        <f ca="1">IF(A174&gt;'Additional Input'!$E$11,"",+C173+1)</f>
        <v/>
      </c>
      <c r="D174" s="721" t="str">
        <f ca="1">IF(A174&gt;'Additional Input'!$E$11,"",($D173*(1+'Additional Input'!$F$26))+$N173+$Q173+$R173+$S173)</f>
        <v/>
      </c>
      <c r="E174" s="653" t="str">
        <f ca="1">IF(A174&gt;'Additional Input'!$E$11,"",E173*(1+'Additional Input'!$F$28))</f>
        <v/>
      </c>
      <c r="F174" s="653" t="str">
        <f ca="1">IF(A174&gt;'Additional Input'!$E$11,"",($F173*(1+'Additional Input'!$F$27))-$Q173+IF(('Additional Input'!$K$40)&gt;A173,'Additional Input'!$D$40*(1+IF('Additional Input'!$H$40=TRUE,'Additional Input'!$D$13,0))^A173,0)+IF(('Additional Input'!$K$40)&gt;A173,'Additional Input'!$F$40*(1+IF('Additional Input'!$H$40=TRUE,'Additional Input'!$D$13,0))^A173,0))</f>
        <v/>
      </c>
      <c r="G174" s="853" t="str">
        <f ca="1">IF(A174&gt;'Additional Input'!$E$11,"",-VLOOKUP(A174*12,Amortization,2))</f>
        <v/>
      </c>
      <c r="H174" s="721" t="str">
        <f ca="1">IF(A174&gt;'Additional Input'!$E$11,"",IF(A174&lt;=Calculator!$F$7,Calculator!$D$7,0)+Calculator!$D$8)</f>
        <v/>
      </c>
      <c r="I174" s="652" t="str">
        <f ca="1">IF(A174&gt;'Additional Input'!$E$11,"",D174+E174+F174+G174+H174)</f>
        <v/>
      </c>
      <c r="J174" s="720" t="str">
        <f ca="1">IF(A174&gt;'Additional Input'!$E$11,"",0)</f>
        <v/>
      </c>
      <c r="K174" s="721" t="str">
        <f ca="1">IF(A174&gt;'Additional Input'!$E$11,"",0)</f>
        <v/>
      </c>
      <c r="L174" s="652" t="str">
        <f ca="1">IF(A174&gt;'Additional Input'!$E$11,"",J174+K174)</f>
        <v/>
      </c>
      <c r="M174" s="654" t="str">
        <f ca="1">IF(A174&gt;'Additional Input'!$E$11,"",(D174*'Additional Input'!$F$26)+(E174*'Additional Input'!$F$28)+(F174*'Additional Input'!$F$27))</f>
        <v/>
      </c>
      <c r="N174" s="655" t="str">
        <f ca="1">IF(A174&gt;'Additional Input'!$E$11,"",IF(('Additional Input'!$K$35)&gt;Projections!A174,'Additional Input'!$D$35*(1+IF('Additional Input'!$H$35=TRUE,'Additional Input'!$D$13,0))^Projections!A174,0)+IF(('Additional Input'!$K$36)&gt;Projections!A174,'Additional Input'!$D$36*(1+IF('Additional Input'!$H$36=TRUE,'Additional Input'!$D$13,0))^Projections!A174,0)-IF(('Additional Input'!$K$40)&gt;A174,'Additional Input'!$D$40*(1+IF('Additional Input'!$H$39=TRUE,'Additional Input'!$D$13,0))^A174,0)+IF(('Additional Input'!$F$37-'Additional Input'!$N$9)&lt;=Projections!A174,'Additional Input'!$D$37*(1+IF('Additional Input'!$H$37=TRUE,'Additional Input'!$D$13,0))^IF('Additional Input'!$K$37=TRUE,Projections!A174,Projections!A174-('Additional Input'!$F$37-'Additional Input'!$N$9)),0)+Adjustments!C174)</f>
        <v/>
      </c>
      <c r="O174" s="824" t="str">
        <f ca="1">IF(A174&gt;'Additional Input'!$E$11,"",IF(('Additional Input'!$N$9+Projections!$A174)&gt;=IF('Additional Input'!$K$44=TRUE,71,70),VLOOKUP(('Additional Input'!$N$9+Projections!$A174),UniformTable,2),0))</f>
        <v/>
      </c>
      <c r="P174" s="825" t="str">
        <f ca="1">IF(A174&gt;'Additional Input'!$E$11,"",IF($O174=0,0,$F174/$O174))</f>
        <v/>
      </c>
      <c r="Q174" s="655" t="str">
        <f ca="1">IF(A174&gt;'Additional Input'!$E$11,"",IF(IF('Additional Input'!$D$44=TRUE,IF($O174=0,0,$F174/$O174),IF('Additional Input'!$F$45-'Additional Input'!$N$9&lt;=Projections!$A174,IF($F174*(1+$F$4)&lt;'Additional Input'!$D$45*IF('Additional Input'!$H$45=TRUE,(1+'Additional Input'!$D$13)^IF('Additional Input'!$K$45=TRUE,$A174,$A174-('Additional Input'!$F$45-'Additional Input'!$N$9)),1),$F174*(1+$F$4),'Additional Input'!$D$45*IF('Additional Input'!$H$45=TRUE,(1+'Additional Input'!$D$13)^IF('Additional Input'!$K$45=TRUE,$A174,$A174-('Additional Input'!$F$45-'Additional Input'!$N$9)),1)),0))&lt;$P174,$P174,IF('Additional Input'!$D$44=TRUE,IF($O174=0,0,$F174/$O174),IF('Additional Input'!$F$45-'Additional Input'!$N$9&lt;=Projections!$A174,IF($F174*(1+$F$4)&lt;'Additional Input'!$D$45*IF('Additional Input'!$H$45=TRUE,(1+'Additional Input'!$D$13)^IF('Additional Input'!$K$45=TRUE,$A174,$A174-('Additional Input'!$F$45-'Additional Input'!$N$9)),1),$F174*(1+$F$4),'Additional Input'!$D$45*IF('Additional Input'!$H$45=TRUE,(1+'Additional Input'!$D$13)^IF('Additional Input'!$K$45=TRUE,$A174,$A174-('Additional Input'!$F$45-'Additional Input'!$N$9)),1)),0)))+Adjustments!D174)</f>
        <v/>
      </c>
      <c r="R174" s="656" t="str">
        <f ca="1">IF(A174&gt;'Additional Input'!$E$11,"",-((N174+Q174)*'Additional Input'!$D$12)+Adjustments!E174)</f>
        <v/>
      </c>
      <c r="S174" s="656" t="str">
        <f ca="1">IF(A174&gt;'Additional Input'!$E$11,"",IF($A174&gt;='Additional Input'!$D$19,-'Additional Input'!$D$18*(1+IF('Additional Input'!$F$18=TRUE,'Additional Input'!$D$13,0))^Projections!A174,0)-TaxTables!D66+Adjustments!F174)</f>
        <v/>
      </c>
      <c r="T174" s="654" t="str">
        <f ca="1">IF(A174&gt;'Additional Input'!$E$11,"",N174+Q174+R174+S174)</f>
        <v/>
      </c>
    </row>
    <row r="175" spans="1:20">
      <c r="A175" s="122">
        <f t="shared" si="6"/>
        <v>36</v>
      </c>
      <c r="B175" s="110" t="str">
        <f ca="1">IF(A175&gt;'Additional Input'!$E$11,"",IF('Additional Input'!$N$9="","",'Additional Input'!$N$9+Projections!A175)&amp;"/"&amp;IF('Additional Input'!$O$9="","",IF('Additional Input'!$O$9=0,"",'Additional Input'!$O$9+Projections!A175)))</f>
        <v/>
      </c>
      <c r="C175" s="122" t="str">
        <f ca="1">IF(A175&gt;'Additional Input'!$E$11,"",+C174+1)</f>
        <v/>
      </c>
      <c r="D175" s="159" t="str">
        <f ca="1">IF(A175&gt;'Additional Input'!$E$11,"",($D174*(1+'Additional Input'!$F$26))+$N174+$Q174+$R174+$S174)</f>
        <v/>
      </c>
      <c r="E175" s="159" t="str">
        <f ca="1">IF(A175&gt;'Additional Input'!$E$11,"",E174*(1+'Additional Input'!$F$28))</f>
        <v/>
      </c>
      <c r="F175" s="159" t="str">
        <f ca="1">IF(A175&gt;'Additional Input'!$E$11,"",($F174*(1+'Additional Input'!$F$27))-$Q174+IF(('Additional Input'!$K$40)&gt;A174,'Additional Input'!$D$40*(1+IF('Additional Input'!$H$40=TRUE,'Additional Input'!$D$13,0))^A174,0)+IF(('Additional Input'!$K$40)&gt;A174,'Additional Input'!$F$40*(1+IF('Additional Input'!$H$40=TRUE,'Additional Input'!$D$13,0))^A174,0))</f>
        <v/>
      </c>
      <c r="G175" s="646" t="str">
        <f ca="1">IF(A175&gt;'Additional Input'!$E$11,"",-VLOOKUP(A175*12,Amortization,2))</f>
        <v/>
      </c>
      <c r="H175" s="159" t="str">
        <f ca="1">IF(A175&gt;'Additional Input'!$E$11,"",IF(A175&lt;=Calculator!$F$7,Calculator!$D$7,0)+Calculator!$D$8)</f>
        <v/>
      </c>
      <c r="I175" s="159" t="str">
        <f ca="1">IF(A175&gt;'Additional Input'!$E$11,"",D175+E175+F175+G175+H175)</f>
        <v/>
      </c>
      <c r="J175" s="646" t="str">
        <f ca="1">IF(A175&gt;'Additional Input'!$E$11,"",0)</f>
        <v/>
      </c>
      <c r="K175" s="159" t="str">
        <f ca="1">IF(A175&gt;'Additional Input'!$E$11,"",0)</f>
        <v/>
      </c>
      <c r="L175" s="159" t="str">
        <f ca="1">IF(A175&gt;'Additional Input'!$E$11,"",J175+K175)</f>
        <v/>
      </c>
      <c r="M175" s="126" t="str">
        <f ca="1">IF(A175&gt;'Additional Input'!$E$11,"",(D175*'Additional Input'!$F$26)+(E175*'Additional Input'!$F$28)+(F175*'Additional Input'!$F$27))</f>
        <v/>
      </c>
      <c r="N175" s="126" t="str">
        <f ca="1">IF(A175&gt;'Additional Input'!$E$11,"",IF(('Additional Input'!$K$35)&gt;Projections!A175,'Additional Input'!$D$35*(1+IF('Additional Input'!$H$35=TRUE,'Additional Input'!$D$13,0))^Projections!A175,0)+IF(('Additional Input'!$K$36)&gt;Projections!A175,'Additional Input'!$D$36*(1+IF('Additional Input'!$H$36=TRUE,'Additional Input'!$D$13,0))^Projections!A175,0)-IF(('Additional Input'!$K$40)&gt;A175,'Additional Input'!$D$40*(1+IF('Additional Input'!$H$39=TRUE,'Additional Input'!$D$13,0))^A175,0)+IF(('Additional Input'!$F$37-'Additional Input'!$N$9)&lt;=Projections!A175,'Additional Input'!$D$37*(1+IF('Additional Input'!$H$37=TRUE,'Additional Input'!$D$13,0))^IF('Additional Input'!$K$37=TRUE,Projections!A175,Projections!A175-('Additional Input'!$F$37-'Additional Input'!$N$9)),0)+Adjustments!C175)</f>
        <v/>
      </c>
      <c r="O175" s="823" t="str">
        <f ca="1">IF(A175&gt;'Additional Input'!$E$11,"",IF(('Additional Input'!$N$9+Projections!$A175)&gt;=IF('Additional Input'!$K$44=TRUE,71,70),VLOOKUP(('Additional Input'!$N$9+Projections!$A175),UniformTable,2),0))</f>
        <v/>
      </c>
      <c r="P175" s="822" t="str">
        <f ca="1">IF(A175&gt;'Additional Input'!$E$11,"",IF($O175=0,0,$F175/$O175))</f>
        <v/>
      </c>
      <c r="Q175" s="178" t="str">
        <f ca="1">IF(A175&gt;'Additional Input'!$E$11,"",IF(IF('Additional Input'!$D$44=TRUE,IF($O175=0,0,$F175/$O175),IF('Additional Input'!$F$45-'Additional Input'!$N$9&lt;=Projections!$A175,IF($F175*(1+$F$4)&lt;'Additional Input'!$D$45*IF('Additional Input'!$H$45=TRUE,(1+'Additional Input'!$D$13)^IF('Additional Input'!$K$45=TRUE,$A175,$A175-('Additional Input'!$F$45-'Additional Input'!$N$9)),1),$F175*(1+$F$4),'Additional Input'!$D$45*IF('Additional Input'!$H$45=TRUE,(1+'Additional Input'!$D$13)^IF('Additional Input'!$K$45=TRUE,$A175,$A175-('Additional Input'!$F$45-'Additional Input'!$N$9)),1)),0))&lt;$P175,$P175,IF('Additional Input'!$D$44=TRUE,IF($O175=0,0,$F175/$O175),IF('Additional Input'!$F$45-'Additional Input'!$N$9&lt;=Projections!$A175,IF($F175*(1+$F$4)&lt;'Additional Input'!$D$45*IF('Additional Input'!$H$45=TRUE,(1+'Additional Input'!$D$13)^IF('Additional Input'!$K$45=TRUE,$A175,$A175-('Additional Input'!$F$45-'Additional Input'!$N$9)),1),$F175*(1+$F$4),'Additional Input'!$D$45*IF('Additional Input'!$H$45=TRUE,(1+'Additional Input'!$D$13)^IF('Additional Input'!$K$45=TRUE,$A175,$A175-('Additional Input'!$F$45-'Additional Input'!$N$9)),1)),0)))+Adjustments!D175)</f>
        <v/>
      </c>
      <c r="R175" s="571" t="str">
        <f ca="1">IF(A175&gt;'Additional Input'!$E$11,"",-((N175+Q175)*'Additional Input'!$D$12)+Adjustments!E175)</f>
        <v/>
      </c>
      <c r="S175" s="571" t="str">
        <f ca="1">IF(A175&gt;'Additional Input'!$E$11,"",IF($A175&gt;='Additional Input'!$D$19,-'Additional Input'!$D$18*(1+IF('Additional Input'!$F$18=TRUE,'Additional Input'!$D$13,0))^Projections!A175,0)-TaxTables!D67+Adjustments!F175)</f>
        <v/>
      </c>
      <c r="T175" s="126" t="str">
        <f ca="1">IF(A175&gt;'Additional Input'!$E$11,"",N175+Q175+R175+S175)</f>
        <v/>
      </c>
    </row>
    <row r="176" spans="1:20">
      <c r="A176" s="122">
        <f t="shared" si="6"/>
        <v>37</v>
      </c>
      <c r="B176" s="110" t="str">
        <f ca="1">IF(A176&gt;'Additional Input'!$E$11,"",IF('Additional Input'!$N$9="","",'Additional Input'!$N$9+Projections!A176)&amp;"/"&amp;IF('Additional Input'!$O$9="","",IF('Additional Input'!$O$9=0,"",'Additional Input'!$O$9+Projections!A176)))</f>
        <v/>
      </c>
      <c r="C176" s="122" t="str">
        <f ca="1">IF(A176&gt;'Additional Input'!$E$11,"",+C175+1)</f>
        <v/>
      </c>
      <c r="D176" s="159" t="str">
        <f ca="1">IF(A176&gt;'Additional Input'!$E$11,"",($D175*(1+'Additional Input'!$F$26))+$N175+$Q175+$R175+$S175)</f>
        <v/>
      </c>
      <c r="E176" s="159" t="str">
        <f ca="1">IF(A176&gt;'Additional Input'!$E$11,"",E175*(1+'Additional Input'!$F$28))</f>
        <v/>
      </c>
      <c r="F176" s="159" t="str">
        <f ca="1">IF(A176&gt;'Additional Input'!$E$11,"",($F175*(1+'Additional Input'!$F$27))-$Q175+IF(('Additional Input'!$K$40)&gt;A175,'Additional Input'!$D$40*(1+IF('Additional Input'!$H$40=TRUE,'Additional Input'!$D$13,0))^A175,0)+IF(('Additional Input'!$K$40)&gt;A175,'Additional Input'!$F$40*(1+IF('Additional Input'!$H$40=TRUE,'Additional Input'!$D$13,0))^A175,0))</f>
        <v/>
      </c>
      <c r="G176" s="646" t="str">
        <f ca="1">IF(A176&gt;'Additional Input'!$E$11,"",-VLOOKUP(A176*12,Amortization,2))</f>
        <v/>
      </c>
      <c r="H176" s="159" t="str">
        <f ca="1">IF(A176&gt;'Additional Input'!$E$11,"",IF(A176&lt;=Calculator!$F$7,Calculator!$D$7,0)+Calculator!$D$8)</f>
        <v/>
      </c>
      <c r="I176" s="159" t="str">
        <f ca="1">IF(A176&gt;'Additional Input'!$E$11,"",D176+E176+F176+G176+H176)</f>
        <v/>
      </c>
      <c r="J176" s="646" t="str">
        <f ca="1">IF(A176&gt;'Additional Input'!$E$11,"",0)</f>
        <v/>
      </c>
      <c r="K176" s="159" t="str">
        <f ca="1">IF(A176&gt;'Additional Input'!$E$11,"",0)</f>
        <v/>
      </c>
      <c r="L176" s="159" t="str">
        <f ca="1">IF(A176&gt;'Additional Input'!$E$11,"",J176+K176)</f>
        <v/>
      </c>
      <c r="M176" s="126" t="str">
        <f ca="1">IF(A176&gt;'Additional Input'!$E$11,"",(D176*'Additional Input'!$F$26)+(E176*'Additional Input'!$F$28)+(F176*'Additional Input'!$F$27))</f>
        <v/>
      </c>
      <c r="N176" s="126" t="str">
        <f ca="1">IF(A176&gt;'Additional Input'!$E$11,"",IF(('Additional Input'!$K$35)&gt;Projections!A176,'Additional Input'!$D$35*(1+IF('Additional Input'!$H$35=TRUE,'Additional Input'!$D$13,0))^Projections!A176,0)+IF(('Additional Input'!$K$36)&gt;Projections!A176,'Additional Input'!$D$36*(1+IF('Additional Input'!$H$36=TRUE,'Additional Input'!$D$13,0))^Projections!A176,0)-IF(('Additional Input'!$K$40)&gt;A176,'Additional Input'!$D$40*(1+IF('Additional Input'!$H$39=TRUE,'Additional Input'!$D$13,0))^A176,0)+IF(('Additional Input'!$F$37-'Additional Input'!$N$9)&lt;=Projections!A176,'Additional Input'!$D$37*(1+IF('Additional Input'!$H$37=TRUE,'Additional Input'!$D$13,0))^IF('Additional Input'!$K$37=TRUE,Projections!A176,Projections!A176-('Additional Input'!$F$37-'Additional Input'!$N$9)),0)+Adjustments!C176)</f>
        <v/>
      </c>
      <c r="O176" s="823" t="str">
        <f ca="1">IF(A176&gt;'Additional Input'!$E$11,"",IF(('Additional Input'!$N$9+Projections!$A176)&gt;=IF('Additional Input'!$K$44=TRUE,71,70),VLOOKUP(('Additional Input'!$N$9+Projections!$A176),UniformTable,2),0))</f>
        <v/>
      </c>
      <c r="P176" s="822" t="str">
        <f ca="1">IF(A176&gt;'Additional Input'!$E$11,"",IF($O176=0,0,$F176/$O176))</f>
        <v/>
      </c>
      <c r="Q176" s="178" t="str">
        <f ca="1">IF(A176&gt;'Additional Input'!$E$11,"",IF(IF('Additional Input'!$D$44=TRUE,IF($O176=0,0,$F176/$O176),IF('Additional Input'!$F$45-'Additional Input'!$N$9&lt;=Projections!$A176,IF($F176*(1+$F$4)&lt;'Additional Input'!$D$45*IF('Additional Input'!$H$45=TRUE,(1+'Additional Input'!$D$13)^IF('Additional Input'!$K$45=TRUE,$A176,$A176-('Additional Input'!$F$45-'Additional Input'!$N$9)),1),$F176*(1+$F$4),'Additional Input'!$D$45*IF('Additional Input'!$H$45=TRUE,(1+'Additional Input'!$D$13)^IF('Additional Input'!$K$45=TRUE,$A176,$A176-('Additional Input'!$F$45-'Additional Input'!$N$9)),1)),0))&lt;$P176,$P176,IF('Additional Input'!$D$44=TRUE,IF($O176=0,0,$F176/$O176),IF('Additional Input'!$F$45-'Additional Input'!$N$9&lt;=Projections!$A176,IF($F176*(1+$F$4)&lt;'Additional Input'!$D$45*IF('Additional Input'!$H$45=TRUE,(1+'Additional Input'!$D$13)^IF('Additional Input'!$K$45=TRUE,$A176,$A176-('Additional Input'!$F$45-'Additional Input'!$N$9)),1),$F176*(1+$F$4),'Additional Input'!$D$45*IF('Additional Input'!$H$45=TRUE,(1+'Additional Input'!$D$13)^IF('Additional Input'!$K$45=TRUE,$A176,$A176-('Additional Input'!$F$45-'Additional Input'!$N$9)),1)),0)))+Adjustments!D176)</f>
        <v/>
      </c>
      <c r="R176" s="571" t="str">
        <f ca="1">IF(A176&gt;'Additional Input'!$E$11,"",-((N176+Q176)*'Additional Input'!$D$12)+Adjustments!E176)</f>
        <v/>
      </c>
      <c r="S176" s="571" t="str">
        <f ca="1">IF(A176&gt;'Additional Input'!$E$11,"",IF($A176&gt;='Additional Input'!$D$19,-'Additional Input'!$D$18*(1+IF('Additional Input'!$F$18=TRUE,'Additional Input'!$D$13,0))^Projections!A176,0)-TaxTables!D68+Adjustments!F176)</f>
        <v/>
      </c>
      <c r="T176" s="126" t="str">
        <f ca="1">IF(A176&gt;'Additional Input'!$E$11,"",N176+Q176+R176+S176)</f>
        <v/>
      </c>
    </row>
    <row r="177" spans="1:20">
      <c r="A177" s="122">
        <f t="shared" si="6"/>
        <v>38</v>
      </c>
      <c r="B177" s="110" t="str">
        <f ca="1">IF(A177&gt;'Additional Input'!$E$11,"",IF('Additional Input'!$N$9="","",'Additional Input'!$N$9+Projections!A177)&amp;"/"&amp;IF('Additional Input'!$O$9="","",IF('Additional Input'!$O$9=0,"",'Additional Input'!$O$9+Projections!A177)))</f>
        <v/>
      </c>
      <c r="C177" s="122" t="str">
        <f ca="1">IF(A177&gt;'Additional Input'!$E$11,"",+C176+1)</f>
        <v/>
      </c>
      <c r="D177" s="159" t="str">
        <f ca="1">IF(A177&gt;'Additional Input'!$E$11,"",($D176*(1+'Additional Input'!$F$26))+$N176+$Q176+$R176+$S176)</f>
        <v/>
      </c>
      <c r="E177" s="159" t="str">
        <f ca="1">IF(A177&gt;'Additional Input'!$E$11,"",E176*(1+'Additional Input'!$F$28))</f>
        <v/>
      </c>
      <c r="F177" s="159" t="str">
        <f ca="1">IF(A177&gt;'Additional Input'!$E$11,"",($F176*(1+'Additional Input'!$F$27))-$Q176+IF(('Additional Input'!$K$40)&gt;A176,'Additional Input'!$D$40*(1+IF('Additional Input'!$H$40=TRUE,'Additional Input'!$D$13,0))^A176,0)+IF(('Additional Input'!$K$40)&gt;A176,'Additional Input'!$F$40*(1+IF('Additional Input'!$H$40=TRUE,'Additional Input'!$D$13,0))^A176,0))</f>
        <v/>
      </c>
      <c r="G177" s="646" t="str">
        <f ca="1">IF(A177&gt;'Additional Input'!$E$11,"",-VLOOKUP(A177*12,Amortization,2))</f>
        <v/>
      </c>
      <c r="H177" s="159" t="str">
        <f ca="1">IF(A177&gt;'Additional Input'!$E$11,"",IF(A177&lt;=Calculator!$F$7,Calculator!$D$7,0)+Calculator!$D$8)</f>
        <v/>
      </c>
      <c r="I177" s="159" t="str">
        <f ca="1">IF(A177&gt;'Additional Input'!$E$11,"",D177+E177+F177+G177+H177)</f>
        <v/>
      </c>
      <c r="J177" s="646" t="str">
        <f ca="1">IF(A177&gt;'Additional Input'!$E$11,"",0)</f>
        <v/>
      </c>
      <c r="K177" s="159" t="str">
        <f ca="1">IF(A177&gt;'Additional Input'!$E$11,"",0)</f>
        <v/>
      </c>
      <c r="L177" s="159" t="str">
        <f ca="1">IF(A177&gt;'Additional Input'!$E$11,"",J177+K177)</f>
        <v/>
      </c>
      <c r="M177" s="126" t="str">
        <f ca="1">IF(A177&gt;'Additional Input'!$E$11,"",(D177*'Additional Input'!$F$26)+(E177*'Additional Input'!$F$28)+(F177*'Additional Input'!$F$27))</f>
        <v/>
      </c>
      <c r="N177" s="126" t="str">
        <f ca="1">IF(A177&gt;'Additional Input'!$E$11,"",IF(('Additional Input'!$K$35)&gt;Projections!A177,'Additional Input'!$D$35*(1+IF('Additional Input'!$H$35=TRUE,'Additional Input'!$D$13,0))^Projections!A177,0)+IF(('Additional Input'!$K$36)&gt;Projections!A177,'Additional Input'!$D$36*(1+IF('Additional Input'!$H$36=TRUE,'Additional Input'!$D$13,0))^Projections!A177,0)-IF(('Additional Input'!$K$40)&gt;A177,'Additional Input'!$D$40*(1+IF('Additional Input'!$H$39=TRUE,'Additional Input'!$D$13,0))^A177,0)+IF(('Additional Input'!$F$37-'Additional Input'!$N$9)&lt;=Projections!A177,'Additional Input'!$D$37*(1+IF('Additional Input'!$H$37=TRUE,'Additional Input'!$D$13,0))^IF('Additional Input'!$K$37=TRUE,Projections!A177,Projections!A177-('Additional Input'!$F$37-'Additional Input'!$N$9)),0)+Adjustments!C177)</f>
        <v/>
      </c>
      <c r="O177" s="823" t="str">
        <f ca="1">IF(A177&gt;'Additional Input'!$E$11,"",IF(('Additional Input'!$N$9+Projections!$A177)&gt;=IF('Additional Input'!$K$44=TRUE,71,70),VLOOKUP(('Additional Input'!$N$9+Projections!$A177),UniformTable,2),0))</f>
        <v/>
      </c>
      <c r="P177" s="822" t="str">
        <f ca="1">IF(A177&gt;'Additional Input'!$E$11,"",IF($O177=0,0,$F177/$O177))</f>
        <v/>
      </c>
      <c r="Q177" s="178" t="str">
        <f ca="1">IF(A177&gt;'Additional Input'!$E$11,"",IF(IF('Additional Input'!$D$44=TRUE,IF($O177=0,0,$F177/$O177),IF('Additional Input'!$F$45-'Additional Input'!$N$9&lt;=Projections!$A177,IF($F177*(1+$F$4)&lt;'Additional Input'!$D$45*IF('Additional Input'!$H$45=TRUE,(1+'Additional Input'!$D$13)^IF('Additional Input'!$K$45=TRUE,$A177,$A177-('Additional Input'!$F$45-'Additional Input'!$N$9)),1),$F177*(1+$F$4),'Additional Input'!$D$45*IF('Additional Input'!$H$45=TRUE,(1+'Additional Input'!$D$13)^IF('Additional Input'!$K$45=TRUE,$A177,$A177-('Additional Input'!$F$45-'Additional Input'!$N$9)),1)),0))&lt;$P177,$P177,IF('Additional Input'!$D$44=TRUE,IF($O177=0,0,$F177/$O177),IF('Additional Input'!$F$45-'Additional Input'!$N$9&lt;=Projections!$A177,IF($F177*(1+$F$4)&lt;'Additional Input'!$D$45*IF('Additional Input'!$H$45=TRUE,(1+'Additional Input'!$D$13)^IF('Additional Input'!$K$45=TRUE,$A177,$A177-('Additional Input'!$F$45-'Additional Input'!$N$9)),1),$F177*(1+$F$4),'Additional Input'!$D$45*IF('Additional Input'!$H$45=TRUE,(1+'Additional Input'!$D$13)^IF('Additional Input'!$K$45=TRUE,$A177,$A177-('Additional Input'!$F$45-'Additional Input'!$N$9)),1)),0)))+Adjustments!D177)</f>
        <v/>
      </c>
      <c r="R177" s="571" t="str">
        <f ca="1">IF(A177&gt;'Additional Input'!$E$11,"",-((N177+Q177)*'Additional Input'!$D$12)+Adjustments!E177)</f>
        <v/>
      </c>
      <c r="S177" s="571" t="str">
        <f ca="1">IF(A177&gt;'Additional Input'!$E$11,"",IF($A177&gt;='Additional Input'!$D$19,-'Additional Input'!$D$18*(1+IF('Additional Input'!$F$18=TRUE,'Additional Input'!$D$13,0))^Projections!A177,0)-TaxTables!D69+Adjustments!F177)</f>
        <v/>
      </c>
      <c r="T177" s="126" t="str">
        <f ca="1">IF(A177&gt;'Additional Input'!$E$11,"",N177+Q177+R177+S177)</f>
        <v/>
      </c>
    </row>
    <row r="178" spans="1:20">
      <c r="A178" s="122">
        <f t="shared" si="6"/>
        <v>39</v>
      </c>
      <c r="B178" s="110" t="str">
        <f ca="1">IF(A178&gt;'Additional Input'!$E$11,"",IF('Additional Input'!$N$9="","",'Additional Input'!$N$9+Projections!A178)&amp;"/"&amp;IF('Additional Input'!$O$9="","",IF('Additional Input'!$O$9=0,"",'Additional Input'!$O$9+Projections!A178)))</f>
        <v/>
      </c>
      <c r="C178" s="122" t="str">
        <f ca="1">IF(A178&gt;'Additional Input'!$E$11,"",+C177+1)</f>
        <v/>
      </c>
      <c r="D178" s="159" t="str">
        <f ca="1">IF(A178&gt;'Additional Input'!$E$11,"",($D177*(1+'Additional Input'!$F$26))+$N177+$Q177+$R177+$S177)</f>
        <v/>
      </c>
      <c r="E178" s="159" t="str">
        <f ca="1">IF(A178&gt;'Additional Input'!$E$11,"",E177*(1+'Additional Input'!$F$28))</f>
        <v/>
      </c>
      <c r="F178" s="159" t="str">
        <f ca="1">IF(A178&gt;'Additional Input'!$E$11,"",($F177*(1+'Additional Input'!$F$27))-$Q177+IF(('Additional Input'!$K$40)&gt;A177,'Additional Input'!$D$40*(1+IF('Additional Input'!$H$40=TRUE,'Additional Input'!$D$13,0))^A177,0)+IF(('Additional Input'!$K$40)&gt;A177,'Additional Input'!$F$40*(1+IF('Additional Input'!$H$40=TRUE,'Additional Input'!$D$13,0))^A177,0))</f>
        <v/>
      </c>
      <c r="G178" s="646" t="str">
        <f ca="1">IF(A178&gt;'Additional Input'!$E$11,"",-VLOOKUP(A178*12,Amortization,2))</f>
        <v/>
      </c>
      <c r="H178" s="159" t="str">
        <f ca="1">IF(A178&gt;'Additional Input'!$E$11,"",IF(A178&lt;=Calculator!$F$7,Calculator!$D$7,0)+Calculator!$D$8)</f>
        <v/>
      </c>
      <c r="I178" s="159" t="str">
        <f ca="1">IF(A178&gt;'Additional Input'!$E$11,"",D178+E178+F178+G178+H178)</f>
        <v/>
      </c>
      <c r="J178" s="646" t="str">
        <f ca="1">IF(A178&gt;'Additional Input'!$E$11,"",0)</f>
        <v/>
      </c>
      <c r="K178" s="159" t="str">
        <f ca="1">IF(A178&gt;'Additional Input'!$E$11,"",0)</f>
        <v/>
      </c>
      <c r="L178" s="159" t="str">
        <f ca="1">IF(A178&gt;'Additional Input'!$E$11,"",J178+K178)</f>
        <v/>
      </c>
      <c r="M178" s="126" t="str">
        <f ca="1">IF(A178&gt;'Additional Input'!$E$11,"",(D178*'Additional Input'!$F$26)+(E178*'Additional Input'!$F$28)+(F178*'Additional Input'!$F$27))</f>
        <v/>
      </c>
      <c r="N178" s="126" t="str">
        <f ca="1">IF(A178&gt;'Additional Input'!$E$11,"",IF(('Additional Input'!$K$35)&gt;Projections!A178,'Additional Input'!$D$35*(1+IF('Additional Input'!$H$35=TRUE,'Additional Input'!$D$13,0))^Projections!A178,0)+IF(('Additional Input'!$K$36)&gt;Projections!A178,'Additional Input'!$D$36*(1+IF('Additional Input'!$H$36=TRUE,'Additional Input'!$D$13,0))^Projections!A178,0)-IF(('Additional Input'!$K$40)&gt;A178,'Additional Input'!$D$40*(1+IF('Additional Input'!$H$39=TRUE,'Additional Input'!$D$13,0))^A178,0)+IF(('Additional Input'!$F$37-'Additional Input'!$N$9)&lt;=Projections!A178,'Additional Input'!$D$37*(1+IF('Additional Input'!$H$37=TRUE,'Additional Input'!$D$13,0))^IF('Additional Input'!$K$37=TRUE,Projections!A178,Projections!A178-('Additional Input'!$F$37-'Additional Input'!$N$9)),0)+Adjustments!C178)</f>
        <v/>
      </c>
      <c r="O178" s="823" t="str">
        <f ca="1">IF(A178&gt;'Additional Input'!$E$11,"",IF(('Additional Input'!$N$9+Projections!$A178)&gt;=IF('Additional Input'!$K$44=TRUE,71,70),VLOOKUP(('Additional Input'!$N$9+Projections!$A178),UniformTable,2),0))</f>
        <v/>
      </c>
      <c r="P178" s="822" t="str">
        <f ca="1">IF(A178&gt;'Additional Input'!$E$11,"",IF($O178=0,0,$F178/$O178))</f>
        <v/>
      </c>
      <c r="Q178" s="178" t="str">
        <f ca="1">IF(A178&gt;'Additional Input'!$E$11,"",IF(IF('Additional Input'!$D$44=TRUE,IF($O178=0,0,$F178/$O178),IF('Additional Input'!$F$45-'Additional Input'!$N$9&lt;=Projections!$A178,IF($F178*(1+$F$4)&lt;'Additional Input'!$D$45*IF('Additional Input'!$H$45=TRUE,(1+'Additional Input'!$D$13)^IF('Additional Input'!$K$45=TRUE,$A178,$A178-('Additional Input'!$F$45-'Additional Input'!$N$9)),1),$F178*(1+$F$4),'Additional Input'!$D$45*IF('Additional Input'!$H$45=TRUE,(1+'Additional Input'!$D$13)^IF('Additional Input'!$K$45=TRUE,$A178,$A178-('Additional Input'!$F$45-'Additional Input'!$N$9)),1)),0))&lt;$P178,$P178,IF('Additional Input'!$D$44=TRUE,IF($O178=0,0,$F178/$O178),IF('Additional Input'!$F$45-'Additional Input'!$N$9&lt;=Projections!$A178,IF($F178*(1+$F$4)&lt;'Additional Input'!$D$45*IF('Additional Input'!$H$45=TRUE,(1+'Additional Input'!$D$13)^IF('Additional Input'!$K$45=TRUE,$A178,$A178-('Additional Input'!$F$45-'Additional Input'!$N$9)),1),$F178*(1+$F$4),'Additional Input'!$D$45*IF('Additional Input'!$H$45=TRUE,(1+'Additional Input'!$D$13)^IF('Additional Input'!$K$45=TRUE,$A178,$A178-('Additional Input'!$F$45-'Additional Input'!$N$9)),1)),0)))+Adjustments!D178)</f>
        <v/>
      </c>
      <c r="R178" s="571" t="str">
        <f ca="1">IF(A178&gt;'Additional Input'!$E$11,"",-((N178+Q178)*'Additional Input'!$D$12)+Adjustments!E178)</f>
        <v/>
      </c>
      <c r="S178" s="571" t="str">
        <f ca="1">IF(A178&gt;'Additional Input'!$E$11,"",IF($A178&gt;='Additional Input'!$D$19,-'Additional Input'!$D$18*(1+IF('Additional Input'!$F$18=TRUE,'Additional Input'!$D$13,0))^Projections!A178,0)-TaxTables!D70+Adjustments!F178)</f>
        <v/>
      </c>
      <c r="T178" s="126" t="str">
        <f ca="1">IF(A178&gt;'Additional Input'!$E$11,"",N178+Q178+R178+S178)</f>
        <v/>
      </c>
    </row>
    <row r="179" spans="1:20">
      <c r="A179" s="650">
        <f t="shared" si="6"/>
        <v>40</v>
      </c>
      <c r="B179" s="651" t="str">
        <f ca="1">IF(A179&gt;'Additional Input'!$E$11,"",IF('Additional Input'!$N$9="","",'Additional Input'!$N$9+Projections!A179)&amp;"/"&amp;IF('Additional Input'!$O$9="","",IF('Additional Input'!$O$9=0,"",'Additional Input'!$O$9+Projections!A179)))</f>
        <v/>
      </c>
      <c r="C179" s="650" t="str">
        <f ca="1">IF(A179&gt;'Additional Input'!$E$11,"",+C178+1)</f>
        <v/>
      </c>
      <c r="D179" s="721" t="str">
        <f ca="1">IF(A179&gt;'Additional Input'!$E$11,"",($D178*(1+'Additional Input'!$F$26))+$N178+$Q178+$R178+$S178)</f>
        <v/>
      </c>
      <c r="E179" s="653" t="str">
        <f ca="1">IF(A179&gt;'Additional Input'!$E$11,"",E178*(1+'Additional Input'!$F$28))</f>
        <v/>
      </c>
      <c r="F179" s="653" t="str">
        <f ca="1">IF(A179&gt;'Additional Input'!$E$11,"",($F178*(1+'Additional Input'!$F$27))-$Q178+IF(('Additional Input'!$K$40)&gt;A178,'Additional Input'!$D$40*(1+IF('Additional Input'!$H$40=TRUE,'Additional Input'!$D$13,0))^A178,0)+IF(('Additional Input'!$K$40)&gt;A178,'Additional Input'!$F$40*(1+IF('Additional Input'!$H$40=TRUE,'Additional Input'!$D$13,0))^A178,0))</f>
        <v/>
      </c>
      <c r="G179" s="853" t="str">
        <f ca="1">IF(A179&gt;'Additional Input'!$E$11,"",-VLOOKUP(A179*12,Amortization,2))</f>
        <v/>
      </c>
      <c r="H179" s="721" t="str">
        <f ca="1">IF(A179&gt;'Additional Input'!$E$11,"",IF(A179&lt;=Calculator!$F$7,Calculator!$D$7,0)+Calculator!$D$8)</f>
        <v/>
      </c>
      <c r="I179" s="652" t="str">
        <f ca="1">IF(A179&gt;'Additional Input'!$E$11,"",D179+E179+F179+G179+H179)</f>
        <v/>
      </c>
      <c r="J179" s="720" t="str">
        <f ca="1">IF(A179&gt;'Additional Input'!$E$11,"",0)</f>
        <v/>
      </c>
      <c r="K179" s="721" t="str">
        <f ca="1">IF(A179&gt;'Additional Input'!$E$11,"",0)</f>
        <v/>
      </c>
      <c r="L179" s="652" t="str">
        <f ca="1">IF(A179&gt;'Additional Input'!$E$11,"",J179+K179)</f>
        <v/>
      </c>
      <c r="M179" s="654" t="str">
        <f ca="1">IF(A179&gt;'Additional Input'!$E$11,"",(D179*'Additional Input'!$F$26)+(E179*'Additional Input'!$F$28)+(F179*'Additional Input'!$F$27))</f>
        <v/>
      </c>
      <c r="N179" s="655" t="str">
        <f ca="1">IF(A179&gt;'Additional Input'!$E$11,"",IF(('Additional Input'!$K$35)&gt;Projections!A179,'Additional Input'!$D$35*(1+IF('Additional Input'!$H$35=TRUE,'Additional Input'!$D$13,0))^Projections!A179,0)+IF(('Additional Input'!$K$36)&gt;Projections!A179,'Additional Input'!$D$36*(1+IF('Additional Input'!$H$36=TRUE,'Additional Input'!$D$13,0))^Projections!A179,0)-IF(('Additional Input'!$K$40)&gt;A179,'Additional Input'!$D$40*(1+IF('Additional Input'!$H$39=TRUE,'Additional Input'!$D$13,0))^A179,0)+IF(('Additional Input'!$F$37-'Additional Input'!$N$9)&lt;=Projections!A179,'Additional Input'!$D$37*(1+IF('Additional Input'!$H$37=TRUE,'Additional Input'!$D$13,0))^IF('Additional Input'!$K$37=TRUE,Projections!A179,Projections!A179-('Additional Input'!$F$37-'Additional Input'!$N$9)),0)+Adjustments!C179)</f>
        <v/>
      </c>
      <c r="O179" s="824" t="str">
        <f ca="1">IF(A179&gt;'Additional Input'!$E$11,"",IF(('Additional Input'!$N$9+Projections!$A179)&gt;=IF('Additional Input'!$K$44=TRUE,71,70),VLOOKUP(('Additional Input'!$N$9+Projections!$A179),UniformTable,2),0))</f>
        <v/>
      </c>
      <c r="P179" s="825" t="str">
        <f ca="1">IF(A179&gt;'Additional Input'!$E$11,"",IF($O179=0,0,$F179/$O179))</f>
        <v/>
      </c>
      <c r="Q179" s="655" t="str">
        <f ca="1">IF(A179&gt;'Additional Input'!$E$11,"",IF(IF('Additional Input'!$D$44=TRUE,IF($O179=0,0,$F179/$O179),IF('Additional Input'!$F$45-'Additional Input'!$N$9&lt;=Projections!$A179,IF($F179*(1+$F$4)&lt;'Additional Input'!$D$45*IF('Additional Input'!$H$45=TRUE,(1+'Additional Input'!$D$13)^IF('Additional Input'!$K$45=TRUE,$A179,$A179-('Additional Input'!$F$45-'Additional Input'!$N$9)),1),$F179*(1+$F$4),'Additional Input'!$D$45*IF('Additional Input'!$H$45=TRUE,(1+'Additional Input'!$D$13)^IF('Additional Input'!$K$45=TRUE,$A179,$A179-('Additional Input'!$F$45-'Additional Input'!$N$9)),1)),0))&lt;$P179,$P179,IF('Additional Input'!$D$44=TRUE,IF($O179=0,0,$F179/$O179),IF('Additional Input'!$F$45-'Additional Input'!$N$9&lt;=Projections!$A179,IF($F179*(1+$F$4)&lt;'Additional Input'!$D$45*IF('Additional Input'!$H$45=TRUE,(1+'Additional Input'!$D$13)^IF('Additional Input'!$K$45=TRUE,$A179,$A179-('Additional Input'!$F$45-'Additional Input'!$N$9)),1),$F179*(1+$F$4),'Additional Input'!$D$45*IF('Additional Input'!$H$45=TRUE,(1+'Additional Input'!$D$13)^IF('Additional Input'!$K$45=TRUE,$A179,$A179-('Additional Input'!$F$45-'Additional Input'!$N$9)),1)),0)))+Adjustments!D179)</f>
        <v/>
      </c>
      <c r="R179" s="656" t="str">
        <f ca="1">IF(A179&gt;'Additional Input'!$E$11,"",-((N179+Q179)*'Additional Input'!$D$12)+Adjustments!E179)</f>
        <v/>
      </c>
      <c r="S179" s="656" t="str">
        <f ca="1">IF(A179&gt;'Additional Input'!$E$11,"",IF($A179&gt;='Additional Input'!$D$19,-'Additional Input'!$D$18*(1+IF('Additional Input'!$F$18=TRUE,'Additional Input'!$D$13,0))^Projections!A179,0)-TaxTables!D71+Adjustments!F179)</f>
        <v/>
      </c>
      <c r="T179" s="654" t="str">
        <f ca="1">IF(A179&gt;'Additional Input'!$E$11,"",N179+Q179+R179+S179)</f>
        <v/>
      </c>
    </row>
    <row r="180" spans="1:20">
      <c r="A180" s="122">
        <f t="shared" si="6"/>
        <v>41</v>
      </c>
      <c r="B180" s="110" t="str">
        <f ca="1">IF(A180&gt;'Additional Input'!$E$11,"",IF('Additional Input'!$N$9="","",'Additional Input'!$N$9+Projections!A180)&amp;"/"&amp;IF('Additional Input'!$O$9="","",IF('Additional Input'!$O$9=0,"",'Additional Input'!$O$9+Projections!A180)))</f>
        <v/>
      </c>
      <c r="C180" s="122" t="str">
        <f ca="1">IF(A180&gt;'Additional Input'!$E$11,"",+C179+1)</f>
        <v/>
      </c>
      <c r="D180" s="159" t="str">
        <f ca="1">IF(A180&gt;'Additional Input'!$E$11,"",($D179*(1+'Additional Input'!$F$26))+$N179+$Q179+$R179+$S179)</f>
        <v/>
      </c>
      <c r="E180" s="159" t="str">
        <f ca="1">IF(A180&gt;'Additional Input'!$E$11,"",E179*(1+'Additional Input'!$F$28))</f>
        <v/>
      </c>
      <c r="F180" s="159" t="str">
        <f ca="1">IF(A180&gt;'Additional Input'!$E$11,"",($F179*(1+'Additional Input'!$F$27))-$Q179+IF(('Additional Input'!$K$40)&gt;A179,'Additional Input'!$D$40*(1+IF('Additional Input'!$H$40=TRUE,'Additional Input'!$D$13,0))^A179,0)+IF(('Additional Input'!$K$40)&gt;A179,'Additional Input'!$F$40*(1+IF('Additional Input'!$H$40=TRUE,'Additional Input'!$D$13,0))^A179,0))</f>
        <v/>
      </c>
      <c r="G180" s="646" t="str">
        <f ca="1">IF(A180&gt;'Additional Input'!$E$11,"",-VLOOKUP(A180*12,Amortization,2))</f>
        <v/>
      </c>
      <c r="H180" s="159" t="str">
        <f ca="1">IF(A180&gt;'Additional Input'!$E$11,"",IF(A180&lt;=Calculator!$F$7,Calculator!$D$7,0)+Calculator!$D$8)</f>
        <v/>
      </c>
      <c r="I180" s="159" t="str">
        <f ca="1">IF(A180&gt;'Additional Input'!$E$11,"",D180+E180+F180+G180+H180)</f>
        <v/>
      </c>
      <c r="J180" s="646" t="str">
        <f ca="1">IF(A180&gt;'Additional Input'!$E$11,"",0)</f>
        <v/>
      </c>
      <c r="K180" s="159" t="str">
        <f ca="1">IF(A180&gt;'Additional Input'!$E$11,"",0)</f>
        <v/>
      </c>
      <c r="L180" s="159" t="str">
        <f ca="1">IF(A180&gt;'Additional Input'!$E$11,"",J180+K180)</f>
        <v/>
      </c>
      <c r="M180" s="126" t="str">
        <f ca="1">IF(A180&gt;'Additional Input'!$E$11,"",(D180*'Additional Input'!$F$26)+(E180*'Additional Input'!$F$28)+(F180*'Additional Input'!$F$27))</f>
        <v/>
      </c>
      <c r="N180" s="126" t="str">
        <f ca="1">IF(A180&gt;'Additional Input'!$E$11,"",IF(('Additional Input'!$K$35)&gt;Projections!A180,'Additional Input'!$D$35*(1+IF('Additional Input'!$H$35=TRUE,'Additional Input'!$D$13,0))^Projections!A180,0)+IF(('Additional Input'!$K$36)&gt;Projections!A180,'Additional Input'!$D$36*(1+IF('Additional Input'!$H$36=TRUE,'Additional Input'!$D$13,0))^Projections!A180,0)-IF(('Additional Input'!$K$40)&gt;A180,'Additional Input'!$D$40*(1+IF('Additional Input'!$H$39=TRUE,'Additional Input'!$D$13,0))^A180,0)+IF(('Additional Input'!$F$37-'Additional Input'!$N$9)&lt;=Projections!A180,'Additional Input'!$D$37*(1+IF('Additional Input'!$H$37=TRUE,'Additional Input'!$D$13,0))^IF('Additional Input'!$K$37=TRUE,Projections!A180,Projections!A180-('Additional Input'!$F$37-'Additional Input'!$N$9)),0)+Adjustments!C180)</f>
        <v/>
      </c>
      <c r="O180" s="823" t="str">
        <f ca="1">IF(A180&gt;'Additional Input'!$E$11,"",IF(('Additional Input'!$N$9+Projections!$A180)&gt;=IF('Additional Input'!$K$44=TRUE,71,70),VLOOKUP(('Additional Input'!$N$9+Projections!$A180),UniformTable,2),0))</f>
        <v/>
      </c>
      <c r="P180" s="822" t="str">
        <f ca="1">IF(A180&gt;'Additional Input'!$E$11,"",IF($O180=0,0,$F180/$O180))</f>
        <v/>
      </c>
      <c r="Q180" s="178" t="str">
        <f ca="1">IF(A180&gt;'Additional Input'!$E$11,"",IF(IF('Additional Input'!$D$44=TRUE,IF($O180=0,0,$F180/$O180),IF('Additional Input'!$F$45-'Additional Input'!$N$9&lt;=Projections!$A180,IF($F180*(1+$F$4)&lt;'Additional Input'!$D$45*IF('Additional Input'!$H$45=TRUE,(1+'Additional Input'!$D$13)^IF('Additional Input'!$K$45=TRUE,$A180,$A180-('Additional Input'!$F$45-'Additional Input'!$N$9)),1),$F180*(1+$F$4),'Additional Input'!$D$45*IF('Additional Input'!$H$45=TRUE,(1+'Additional Input'!$D$13)^IF('Additional Input'!$K$45=TRUE,$A180,$A180-('Additional Input'!$F$45-'Additional Input'!$N$9)),1)),0))&lt;$P180,$P180,IF('Additional Input'!$D$44=TRUE,IF($O180=0,0,$F180/$O180),IF('Additional Input'!$F$45-'Additional Input'!$N$9&lt;=Projections!$A180,IF($F180*(1+$F$4)&lt;'Additional Input'!$D$45*IF('Additional Input'!$H$45=TRUE,(1+'Additional Input'!$D$13)^IF('Additional Input'!$K$45=TRUE,$A180,$A180-('Additional Input'!$F$45-'Additional Input'!$N$9)),1),$F180*(1+$F$4),'Additional Input'!$D$45*IF('Additional Input'!$H$45=TRUE,(1+'Additional Input'!$D$13)^IF('Additional Input'!$K$45=TRUE,$A180,$A180-('Additional Input'!$F$45-'Additional Input'!$N$9)),1)),0)))+Adjustments!D180)</f>
        <v/>
      </c>
      <c r="R180" s="571" t="str">
        <f ca="1">IF(A180&gt;'Additional Input'!$E$11,"",-((N180+Q180)*'Additional Input'!$D$12)+Adjustments!E180)</f>
        <v/>
      </c>
      <c r="S180" s="571" t="str">
        <f ca="1">IF(A180&gt;'Additional Input'!$E$11,"",IF($A180&gt;='Additional Input'!$D$19,-'Additional Input'!$D$18*(1+IF('Additional Input'!$F$18=TRUE,'Additional Input'!$D$13,0))^Projections!A180,0)-TaxTables!D72+Adjustments!F180)</f>
        <v/>
      </c>
      <c r="T180" s="126" t="str">
        <f ca="1">IF(A180&gt;'Additional Input'!$E$11,"",N180+Q180+R180+S180)</f>
        <v/>
      </c>
    </row>
    <row r="181" spans="1:20">
      <c r="A181" s="122">
        <f t="shared" si="6"/>
        <v>42</v>
      </c>
      <c r="B181" s="110" t="str">
        <f ca="1">IF(A181&gt;'Additional Input'!$E$11,"",IF('Additional Input'!$N$9="","",'Additional Input'!$N$9+Projections!A181)&amp;"/"&amp;IF('Additional Input'!$O$9="","",IF('Additional Input'!$O$9=0,"",'Additional Input'!$O$9+Projections!A181)))</f>
        <v/>
      </c>
      <c r="C181" s="122" t="str">
        <f ca="1">IF(A181&gt;'Additional Input'!$E$11,"",+C180+1)</f>
        <v/>
      </c>
      <c r="D181" s="159" t="str">
        <f ca="1">IF(A181&gt;'Additional Input'!$E$11,"",($D180*(1+'Additional Input'!$F$26))+$N180+$Q180+$R180+$S180)</f>
        <v/>
      </c>
      <c r="E181" s="159" t="str">
        <f ca="1">IF(A181&gt;'Additional Input'!$E$11,"",E180*(1+'Additional Input'!$F$28))</f>
        <v/>
      </c>
      <c r="F181" s="159" t="str">
        <f ca="1">IF(A181&gt;'Additional Input'!$E$11,"",($F180*(1+'Additional Input'!$F$27))-$Q180+IF(('Additional Input'!$K$40)&gt;A180,'Additional Input'!$D$40*(1+IF('Additional Input'!$H$40=TRUE,'Additional Input'!$D$13,0))^A180,0)+IF(('Additional Input'!$K$40)&gt;A180,'Additional Input'!$F$40*(1+IF('Additional Input'!$H$40=TRUE,'Additional Input'!$D$13,0))^A180,0))</f>
        <v/>
      </c>
      <c r="G181" s="646" t="str">
        <f ca="1">IF(A181&gt;'Additional Input'!$E$11,"",-VLOOKUP(A181*12,Amortization,2))</f>
        <v/>
      </c>
      <c r="H181" s="159" t="str">
        <f ca="1">IF(A181&gt;'Additional Input'!$E$11,"",IF(A181&lt;=Calculator!$F$7,Calculator!$D$7,0)+Calculator!$D$8)</f>
        <v/>
      </c>
      <c r="I181" s="159" t="str">
        <f ca="1">IF(A181&gt;'Additional Input'!$E$11,"",D181+E181+F181+G181+H181)</f>
        <v/>
      </c>
      <c r="J181" s="646" t="str">
        <f ca="1">IF(A181&gt;'Additional Input'!$E$11,"",0)</f>
        <v/>
      </c>
      <c r="K181" s="159" t="str">
        <f ca="1">IF(A181&gt;'Additional Input'!$E$11,"",0)</f>
        <v/>
      </c>
      <c r="L181" s="159" t="str">
        <f ca="1">IF(A181&gt;'Additional Input'!$E$11,"",J181+K181)</f>
        <v/>
      </c>
      <c r="M181" s="126" t="str">
        <f ca="1">IF(A181&gt;'Additional Input'!$E$11,"",(D181*'Additional Input'!$F$26)+(E181*'Additional Input'!$F$28)+(F181*'Additional Input'!$F$27))</f>
        <v/>
      </c>
      <c r="N181" s="126" t="str">
        <f ca="1">IF(A181&gt;'Additional Input'!$E$11,"",IF(('Additional Input'!$K$35)&gt;Projections!A181,'Additional Input'!$D$35*(1+IF('Additional Input'!$H$35=TRUE,'Additional Input'!$D$13,0))^Projections!A181,0)+IF(('Additional Input'!$K$36)&gt;Projections!A181,'Additional Input'!$D$36*(1+IF('Additional Input'!$H$36=TRUE,'Additional Input'!$D$13,0))^Projections!A181,0)-IF(('Additional Input'!$K$40)&gt;A181,'Additional Input'!$D$40*(1+IF('Additional Input'!$H$39=TRUE,'Additional Input'!$D$13,0))^A181,0)+IF(('Additional Input'!$F$37-'Additional Input'!$N$9)&lt;=Projections!A181,'Additional Input'!$D$37*(1+IF('Additional Input'!$H$37=TRUE,'Additional Input'!$D$13,0))^IF('Additional Input'!$K$37=TRUE,Projections!A181,Projections!A181-('Additional Input'!$F$37-'Additional Input'!$N$9)),0)+Adjustments!C181)</f>
        <v/>
      </c>
      <c r="O181" s="823" t="str">
        <f ca="1">IF(A181&gt;'Additional Input'!$E$11,"",IF(('Additional Input'!$N$9+Projections!$A181)&gt;=IF('Additional Input'!$K$44=TRUE,71,70),VLOOKUP(('Additional Input'!$N$9+Projections!$A181),UniformTable,2),0))</f>
        <v/>
      </c>
      <c r="P181" s="822" t="str">
        <f ca="1">IF(A181&gt;'Additional Input'!$E$11,"",IF($O181=0,0,$F181/$O181))</f>
        <v/>
      </c>
      <c r="Q181" s="178" t="str">
        <f ca="1">IF(A181&gt;'Additional Input'!$E$11,"",IF(IF('Additional Input'!$D$44=TRUE,IF($O181=0,0,$F181/$O181),IF('Additional Input'!$F$45-'Additional Input'!$N$9&lt;=Projections!$A181,IF($F181*(1+$F$4)&lt;'Additional Input'!$D$45*IF('Additional Input'!$H$45=TRUE,(1+'Additional Input'!$D$13)^IF('Additional Input'!$K$45=TRUE,$A181,$A181-('Additional Input'!$F$45-'Additional Input'!$N$9)),1),$F181*(1+$F$4),'Additional Input'!$D$45*IF('Additional Input'!$H$45=TRUE,(1+'Additional Input'!$D$13)^IF('Additional Input'!$K$45=TRUE,$A181,$A181-('Additional Input'!$F$45-'Additional Input'!$N$9)),1)),0))&lt;$P181,$P181,IF('Additional Input'!$D$44=TRUE,IF($O181=0,0,$F181/$O181),IF('Additional Input'!$F$45-'Additional Input'!$N$9&lt;=Projections!$A181,IF($F181*(1+$F$4)&lt;'Additional Input'!$D$45*IF('Additional Input'!$H$45=TRUE,(1+'Additional Input'!$D$13)^IF('Additional Input'!$K$45=TRUE,$A181,$A181-('Additional Input'!$F$45-'Additional Input'!$N$9)),1),$F181*(1+$F$4),'Additional Input'!$D$45*IF('Additional Input'!$H$45=TRUE,(1+'Additional Input'!$D$13)^IF('Additional Input'!$K$45=TRUE,$A181,$A181-('Additional Input'!$F$45-'Additional Input'!$N$9)),1)),0)))+Adjustments!D181)</f>
        <v/>
      </c>
      <c r="R181" s="571" t="str">
        <f ca="1">IF(A181&gt;'Additional Input'!$E$11,"",-((N181+Q181)*'Additional Input'!$D$12)+Adjustments!E181)</f>
        <v/>
      </c>
      <c r="S181" s="571" t="str">
        <f ca="1">IF(A181&gt;'Additional Input'!$E$11,"",IF($A181&gt;='Additional Input'!$D$19,-'Additional Input'!$D$18*(1+IF('Additional Input'!$F$18=TRUE,'Additional Input'!$D$13,0))^Projections!A181,0)-TaxTables!D73+Adjustments!F181)</f>
        <v/>
      </c>
      <c r="T181" s="126" t="str">
        <f ca="1">IF(A181&gt;'Additional Input'!$E$11,"",N181+Q181+R181+S181)</f>
        <v/>
      </c>
    </row>
    <row r="182" spans="1:20">
      <c r="A182" s="122">
        <f t="shared" si="6"/>
        <v>43</v>
      </c>
      <c r="B182" s="110" t="str">
        <f ca="1">IF(A182&gt;'Additional Input'!$E$11,"",IF('Additional Input'!$N$9="","",'Additional Input'!$N$9+Projections!A182)&amp;"/"&amp;IF('Additional Input'!$O$9="","",IF('Additional Input'!$O$9=0,"",'Additional Input'!$O$9+Projections!A182)))</f>
        <v/>
      </c>
      <c r="C182" s="122" t="str">
        <f ca="1">IF(A182&gt;'Additional Input'!$E$11,"",+C181+1)</f>
        <v/>
      </c>
      <c r="D182" s="159" t="str">
        <f ca="1">IF(A182&gt;'Additional Input'!$E$11,"",($D181*(1+'Additional Input'!$F$26))+$N181+$Q181+$R181+$S181)</f>
        <v/>
      </c>
      <c r="E182" s="159" t="str">
        <f ca="1">IF(A182&gt;'Additional Input'!$E$11,"",E181*(1+'Additional Input'!$F$28))</f>
        <v/>
      </c>
      <c r="F182" s="159" t="str">
        <f ca="1">IF(A182&gt;'Additional Input'!$E$11,"",($F181*(1+'Additional Input'!$F$27))-$Q181+IF(('Additional Input'!$K$40)&gt;A181,'Additional Input'!$D$40*(1+IF('Additional Input'!$H$40=TRUE,'Additional Input'!$D$13,0))^A181,0)+IF(('Additional Input'!$K$40)&gt;A181,'Additional Input'!$F$40*(1+IF('Additional Input'!$H$40=TRUE,'Additional Input'!$D$13,0))^A181,0))</f>
        <v/>
      </c>
      <c r="G182" s="646" t="str">
        <f ca="1">IF(A182&gt;'Additional Input'!$E$11,"",-VLOOKUP(A182*12,Amortization,2))</f>
        <v/>
      </c>
      <c r="H182" s="159" t="str">
        <f ca="1">IF(A182&gt;'Additional Input'!$E$11,"",IF(A182&lt;=Calculator!$F$7,Calculator!$D$7,0)+Calculator!$D$8)</f>
        <v/>
      </c>
      <c r="I182" s="159" t="str">
        <f ca="1">IF(A182&gt;'Additional Input'!$E$11,"",D182+E182+F182+G182+H182)</f>
        <v/>
      </c>
      <c r="J182" s="646" t="str">
        <f ca="1">IF(A182&gt;'Additional Input'!$E$11,"",0)</f>
        <v/>
      </c>
      <c r="K182" s="159" t="str">
        <f ca="1">IF(A182&gt;'Additional Input'!$E$11,"",0)</f>
        <v/>
      </c>
      <c r="L182" s="159" t="str">
        <f ca="1">IF(A182&gt;'Additional Input'!$E$11,"",J182+K182)</f>
        <v/>
      </c>
      <c r="M182" s="126" t="str">
        <f ca="1">IF(A182&gt;'Additional Input'!$E$11,"",(D182*'Additional Input'!$F$26)+(E182*'Additional Input'!$F$28)+(F182*'Additional Input'!$F$27))</f>
        <v/>
      </c>
      <c r="N182" s="126" t="str">
        <f ca="1">IF(A182&gt;'Additional Input'!$E$11,"",IF(('Additional Input'!$K$35)&gt;Projections!A182,'Additional Input'!$D$35*(1+IF('Additional Input'!$H$35=TRUE,'Additional Input'!$D$13,0))^Projections!A182,0)+IF(('Additional Input'!$K$36)&gt;Projections!A182,'Additional Input'!$D$36*(1+IF('Additional Input'!$H$36=TRUE,'Additional Input'!$D$13,0))^Projections!A182,0)-IF(('Additional Input'!$K$40)&gt;A182,'Additional Input'!$D$40*(1+IF('Additional Input'!$H$39=TRUE,'Additional Input'!$D$13,0))^A182,0)+IF(('Additional Input'!$F$37-'Additional Input'!$N$9)&lt;=Projections!A182,'Additional Input'!$D$37*(1+IF('Additional Input'!$H$37=TRUE,'Additional Input'!$D$13,0))^IF('Additional Input'!$K$37=TRUE,Projections!A182,Projections!A182-('Additional Input'!$F$37-'Additional Input'!$N$9)),0)+Adjustments!C182)</f>
        <v/>
      </c>
      <c r="O182" s="823" t="str">
        <f ca="1">IF(A182&gt;'Additional Input'!$E$11,"",IF(('Additional Input'!$N$9+Projections!$A182)&gt;=IF('Additional Input'!$K$44=TRUE,71,70),VLOOKUP(('Additional Input'!$N$9+Projections!$A182),UniformTable,2),0))</f>
        <v/>
      </c>
      <c r="P182" s="822" t="str">
        <f ca="1">IF(A182&gt;'Additional Input'!$E$11,"",IF($O182=0,0,$F182/$O182))</f>
        <v/>
      </c>
      <c r="Q182" s="178" t="str">
        <f ca="1">IF(A182&gt;'Additional Input'!$E$11,"",IF(IF('Additional Input'!$D$44=TRUE,IF($O182=0,0,$F182/$O182),IF('Additional Input'!$F$45-'Additional Input'!$N$9&lt;=Projections!$A182,IF($F182*(1+$F$4)&lt;'Additional Input'!$D$45*IF('Additional Input'!$H$45=TRUE,(1+'Additional Input'!$D$13)^IF('Additional Input'!$K$45=TRUE,$A182,$A182-('Additional Input'!$F$45-'Additional Input'!$N$9)),1),$F182*(1+$F$4),'Additional Input'!$D$45*IF('Additional Input'!$H$45=TRUE,(1+'Additional Input'!$D$13)^IF('Additional Input'!$K$45=TRUE,$A182,$A182-('Additional Input'!$F$45-'Additional Input'!$N$9)),1)),0))&lt;$P182,$P182,IF('Additional Input'!$D$44=TRUE,IF($O182=0,0,$F182/$O182),IF('Additional Input'!$F$45-'Additional Input'!$N$9&lt;=Projections!$A182,IF($F182*(1+$F$4)&lt;'Additional Input'!$D$45*IF('Additional Input'!$H$45=TRUE,(1+'Additional Input'!$D$13)^IF('Additional Input'!$K$45=TRUE,$A182,$A182-('Additional Input'!$F$45-'Additional Input'!$N$9)),1),$F182*(1+$F$4),'Additional Input'!$D$45*IF('Additional Input'!$H$45=TRUE,(1+'Additional Input'!$D$13)^IF('Additional Input'!$K$45=TRUE,$A182,$A182-('Additional Input'!$F$45-'Additional Input'!$N$9)),1)),0)))+Adjustments!D182)</f>
        <v/>
      </c>
      <c r="R182" s="571" t="str">
        <f ca="1">IF(A182&gt;'Additional Input'!$E$11,"",-((N182+Q182)*'Additional Input'!$D$12)+Adjustments!E182)</f>
        <v/>
      </c>
      <c r="S182" s="571" t="str">
        <f ca="1">IF(A182&gt;'Additional Input'!$E$11,"",IF($A182&gt;='Additional Input'!$D$19,-'Additional Input'!$D$18*(1+IF('Additional Input'!$F$18=TRUE,'Additional Input'!$D$13,0))^Projections!A182,0)-TaxTables!D74+Adjustments!F182)</f>
        <v/>
      </c>
      <c r="T182" s="126" t="str">
        <f ca="1">IF(A182&gt;'Additional Input'!$E$11,"",N182+Q182+R182+S182)</f>
        <v/>
      </c>
    </row>
    <row r="183" spans="1:20">
      <c r="A183" s="122">
        <f t="shared" si="6"/>
        <v>44</v>
      </c>
      <c r="B183" s="110" t="str">
        <f ca="1">IF(A183&gt;'Additional Input'!$E$11,"",IF('Additional Input'!$N$9="","",'Additional Input'!$N$9+Projections!A183)&amp;"/"&amp;IF('Additional Input'!$O$9="","",IF('Additional Input'!$O$9=0,"",'Additional Input'!$O$9+Projections!A183)))</f>
        <v/>
      </c>
      <c r="C183" s="122" t="str">
        <f ca="1">IF(A183&gt;'Additional Input'!$E$11,"",+C182+1)</f>
        <v/>
      </c>
      <c r="D183" s="159" t="str">
        <f ca="1">IF(A183&gt;'Additional Input'!$E$11,"",($D182*(1+'Additional Input'!$F$26))+$N182+$Q182+$R182+$S182)</f>
        <v/>
      </c>
      <c r="E183" s="159" t="str">
        <f ca="1">IF(A183&gt;'Additional Input'!$E$11,"",E182*(1+'Additional Input'!$F$28))</f>
        <v/>
      </c>
      <c r="F183" s="159" t="str">
        <f ca="1">IF(A183&gt;'Additional Input'!$E$11,"",($F182*(1+'Additional Input'!$F$27))-$Q182+IF(('Additional Input'!$K$40)&gt;A182,'Additional Input'!$D$40*(1+IF('Additional Input'!$H$40=TRUE,'Additional Input'!$D$13,0))^A182,0)+IF(('Additional Input'!$K$40)&gt;A182,'Additional Input'!$F$40*(1+IF('Additional Input'!$H$40=TRUE,'Additional Input'!$D$13,0))^A182,0))</f>
        <v/>
      </c>
      <c r="G183" s="646" t="str">
        <f ca="1">IF(A183&gt;'Additional Input'!$E$11,"",-VLOOKUP(A183*12,Amortization,2))</f>
        <v/>
      </c>
      <c r="H183" s="159" t="str">
        <f ca="1">IF(A183&gt;'Additional Input'!$E$11,"",IF(A183&lt;=Calculator!$F$7,Calculator!$D$7,0)+Calculator!$D$8)</f>
        <v/>
      </c>
      <c r="I183" s="159" t="str">
        <f ca="1">IF(A183&gt;'Additional Input'!$E$11,"",D183+E183+F183+G183+H183)</f>
        <v/>
      </c>
      <c r="J183" s="646" t="str">
        <f ca="1">IF(A183&gt;'Additional Input'!$E$11,"",0)</f>
        <v/>
      </c>
      <c r="K183" s="159" t="str">
        <f ca="1">IF(A183&gt;'Additional Input'!$E$11,"",0)</f>
        <v/>
      </c>
      <c r="L183" s="159" t="str">
        <f ca="1">IF(A183&gt;'Additional Input'!$E$11,"",J183+K183)</f>
        <v/>
      </c>
      <c r="M183" s="126" t="str">
        <f ca="1">IF(A183&gt;'Additional Input'!$E$11,"",(D183*'Additional Input'!$F$26)+(E183*'Additional Input'!$F$28)+(F183*'Additional Input'!$F$27))</f>
        <v/>
      </c>
      <c r="N183" s="126" t="str">
        <f ca="1">IF(A183&gt;'Additional Input'!$E$11,"",IF(('Additional Input'!$K$35)&gt;Projections!A183,'Additional Input'!$D$35*(1+IF('Additional Input'!$H$35=TRUE,'Additional Input'!$D$13,0))^Projections!A183,0)+IF(('Additional Input'!$K$36)&gt;Projections!A183,'Additional Input'!$D$36*(1+IF('Additional Input'!$H$36=TRUE,'Additional Input'!$D$13,0))^Projections!A183,0)-IF(('Additional Input'!$K$40)&gt;A183,'Additional Input'!$D$40*(1+IF('Additional Input'!$H$39=TRUE,'Additional Input'!$D$13,0))^A183,0)+IF(('Additional Input'!$F$37-'Additional Input'!$N$9)&lt;=Projections!A183,'Additional Input'!$D$37*(1+IF('Additional Input'!$H$37=TRUE,'Additional Input'!$D$13,0))^IF('Additional Input'!$K$37=TRUE,Projections!A183,Projections!A183-('Additional Input'!$F$37-'Additional Input'!$N$9)),0)+Adjustments!C183)</f>
        <v/>
      </c>
      <c r="O183" s="823" t="str">
        <f ca="1">IF(A183&gt;'Additional Input'!$E$11,"",IF(('Additional Input'!$N$9+Projections!$A183)&gt;=IF('Additional Input'!$K$44=TRUE,71,70),VLOOKUP(('Additional Input'!$N$9+Projections!$A183),UniformTable,2),0))</f>
        <v/>
      </c>
      <c r="P183" s="822" t="str">
        <f ca="1">IF(A183&gt;'Additional Input'!$E$11,"",IF($O183=0,0,$F183/$O183))</f>
        <v/>
      </c>
      <c r="Q183" s="178" t="str">
        <f ca="1">IF(A183&gt;'Additional Input'!$E$11,"",IF(IF('Additional Input'!$D$44=TRUE,IF($O183=0,0,$F183/$O183),IF('Additional Input'!$F$45-'Additional Input'!$N$9&lt;=Projections!$A183,IF($F183*(1+$F$4)&lt;'Additional Input'!$D$45*IF('Additional Input'!$H$45=TRUE,(1+'Additional Input'!$D$13)^IF('Additional Input'!$K$45=TRUE,$A183,$A183-('Additional Input'!$F$45-'Additional Input'!$N$9)),1),$F183*(1+$F$4),'Additional Input'!$D$45*IF('Additional Input'!$H$45=TRUE,(1+'Additional Input'!$D$13)^IF('Additional Input'!$K$45=TRUE,$A183,$A183-('Additional Input'!$F$45-'Additional Input'!$N$9)),1)),0))&lt;$P183,$P183,IF('Additional Input'!$D$44=TRUE,IF($O183=0,0,$F183/$O183),IF('Additional Input'!$F$45-'Additional Input'!$N$9&lt;=Projections!$A183,IF($F183*(1+$F$4)&lt;'Additional Input'!$D$45*IF('Additional Input'!$H$45=TRUE,(1+'Additional Input'!$D$13)^IF('Additional Input'!$K$45=TRUE,$A183,$A183-('Additional Input'!$F$45-'Additional Input'!$N$9)),1),$F183*(1+$F$4),'Additional Input'!$D$45*IF('Additional Input'!$H$45=TRUE,(1+'Additional Input'!$D$13)^IF('Additional Input'!$K$45=TRUE,$A183,$A183-('Additional Input'!$F$45-'Additional Input'!$N$9)),1)),0)))+Adjustments!D183)</f>
        <v/>
      </c>
      <c r="R183" s="571" t="str">
        <f ca="1">IF(A183&gt;'Additional Input'!$E$11,"",-((N183+Q183)*'Additional Input'!$D$12)+Adjustments!E183)</f>
        <v/>
      </c>
      <c r="S183" s="571" t="str">
        <f ca="1">IF(A183&gt;'Additional Input'!$E$11,"",IF($A183&gt;='Additional Input'!$D$19,-'Additional Input'!$D$18*(1+IF('Additional Input'!$F$18=TRUE,'Additional Input'!$D$13,0))^Projections!A183,0)-TaxTables!D75+Adjustments!F183)</f>
        <v/>
      </c>
      <c r="T183" s="126" t="str">
        <f ca="1">IF(A183&gt;'Additional Input'!$E$11,"",N183+Q183+R183+S183)</f>
        <v/>
      </c>
    </row>
    <row r="184" spans="1:20">
      <c r="A184" s="650">
        <f t="shared" si="6"/>
        <v>45</v>
      </c>
      <c r="B184" s="651" t="str">
        <f ca="1">IF(A184&gt;'Additional Input'!$E$11,"",IF('Additional Input'!$N$9="","",'Additional Input'!$N$9+Projections!A184)&amp;"/"&amp;IF('Additional Input'!$O$9="","",IF('Additional Input'!$O$9=0,"",'Additional Input'!$O$9+Projections!A184)))</f>
        <v/>
      </c>
      <c r="C184" s="650" t="str">
        <f ca="1">IF(A184&gt;'Additional Input'!$E$11,"",+C183+1)</f>
        <v/>
      </c>
      <c r="D184" s="721" t="str">
        <f ca="1">IF(A184&gt;'Additional Input'!$E$11,"",($D183*(1+'Additional Input'!$F$26))+$N183+$Q183+$R183+$S183)</f>
        <v/>
      </c>
      <c r="E184" s="653" t="str">
        <f ca="1">IF(A184&gt;'Additional Input'!$E$11,"",E183*(1+'Additional Input'!$F$28))</f>
        <v/>
      </c>
      <c r="F184" s="653" t="str">
        <f ca="1">IF(A184&gt;'Additional Input'!$E$11,"",($F183*(1+'Additional Input'!$F$27))-$Q183+IF(('Additional Input'!$K$40)&gt;A183,'Additional Input'!$D$40*(1+IF('Additional Input'!$H$40=TRUE,'Additional Input'!$D$13,0))^A183,0)+IF(('Additional Input'!$K$40)&gt;A183,'Additional Input'!$F$40*(1+IF('Additional Input'!$H$40=TRUE,'Additional Input'!$D$13,0))^A183,0))</f>
        <v/>
      </c>
      <c r="G184" s="853" t="str">
        <f ca="1">IF(A184&gt;'Additional Input'!$E$11,"",-VLOOKUP(A184*12,Amortization,2))</f>
        <v/>
      </c>
      <c r="H184" s="721" t="str">
        <f ca="1">IF(A184&gt;'Additional Input'!$E$11,"",IF(A184&lt;=Calculator!$F$7,Calculator!$D$7,0)+Calculator!$D$8)</f>
        <v/>
      </c>
      <c r="I184" s="652" t="str">
        <f ca="1">IF(A184&gt;'Additional Input'!$E$11,"",D184+E184+F184+G184+H184)</f>
        <v/>
      </c>
      <c r="J184" s="720" t="str">
        <f ca="1">IF(A184&gt;'Additional Input'!$E$11,"",0)</f>
        <v/>
      </c>
      <c r="K184" s="721" t="str">
        <f ca="1">IF(A184&gt;'Additional Input'!$E$11,"",0)</f>
        <v/>
      </c>
      <c r="L184" s="652" t="str">
        <f ca="1">IF(A184&gt;'Additional Input'!$E$11,"",J184+K184)</f>
        <v/>
      </c>
      <c r="M184" s="654" t="str">
        <f ca="1">IF(A184&gt;'Additional Input'!$E$11,"",(D184*'Additional Input'!$F$26)+(E184*'Additional Input'!$F$28)+(F184*'Additional Input'!$F$27))</f>
        <v/>
      </c>
      <c r="N184" s="655" t="str">
        <f ca="1">IF(A184&gt;'Additional Input'!$E$11,"",IF(('Additional Input'!$K$35)&gt;Projections!A184,'Additional Input'!$D$35*(1+IF('Additional Input'!$H$35=TRUE,'Additional Input'!$D$13,0))^Projections!A184,0)+IF(('Additional Input'!$K$36)&gt;Projections!A184,'Additional Input'!$D$36*(1+IF('Additional Input'!$H$36=TRUE,'Additional Input'!$D$13,0))^Projections!A184,0)-IF(('Additional Input'!$K$40)&gt;A184,'Additional Input'!$D$40*(1+IF('Additional Input'!$H$39=TRUE,'Additional Input'!$D$13,0))^A184,0)+IF(('Additional Input'!$F$37-'Additional Input'!$N$9)&lt;=Projections!A184,'Additional Input'!$D$37*(1+IF('Additional Input'!$H$37=TRUE,'Additional Input'!$D$13,0))^IF('Additional Input'!$K$37=TRUE,Projections!A184,Projections!A184-('Additional Input'!$F$37-'Additional Input'!$N$9)),0)+Adjustments!C184)</f>
        <v/>
      </c>
      <c r="O184" s="824" t="str">
        <f ca="1">IF(A184&gt;'Additional Input'!$E$11,"",IF(('Additional Input'!$N$9+Projections!$A184)&gt;=IF('Additional Input'!$K$44=TRUE,71,70),VLOOKUP(('Additional Input'!$N$9+Projections!$A184),UniformTable,2),0))</f>
        <v/>
      </c>
      <c r="P184" s="825" t="str">
        <f ca="1">IF(A184&gt;'Additional Input'!$E$11,"",IF($O184=0,0,$F184/$O184))</f>
        <v/>
      </c>
      <c r="Q184" s="655" t="str">
        <f ca="1">IF(A184&gt;'Additional Input'!$E$11,"",IF(IF('Additional Input'!$D$44=TRUE,IF($O184=0,0,$F184/$O184),IF('Additional Input'!$F$45-'Additional Input'!$N$9&lt;=Projections!$A184,IF($F184*(1+$F$4)&lt;'Additional Input'!$D$45*IF('Additional Input'!$H$45=TRUE,(1+'Additional Input'!$D$13)^IF('Additional Input'!$K$45=TRUE,$A184,$A184-('Additional Input'!$F$45-'Additional Input'!$N$9)),1),$F184*(1+$F$4),'Additional Input'!$D$45*IF('Additional Input'!$H$45=TRUE,(1+'Additional Input'!$D$13)^IF('Additional Input'!$K$45=TRUE,$A184,$A184-('Additional Input'!$F$45-'Additional Input'!$N$9)),1)),0))&lt;$P184,$P184,IF('Additional Input'!$D$44=TRUE,IF($O184=0,0,$F184/$O184),IF('Additional Input'!$F$45-'Additional Input'!$N$9&lt;=Projections!$A184,IF($F184*(1+$F$4)&lt;'Additional Input'!$D$45*IF('Additional Input'!$H$45=TRUE,(1+'Additional Input'!$D$13)^IF('Additional Input'!$K$45=TRUE,$A184,$A184-('Additional Input'!$F$45-'Additional Input'!$N$9)),1),$F184*(1+$F$4),'Additional Input'!$D$45*IF('Additional Input'!$H$45=TRUE,(1+'Additional Input'!$D$13)^IF('Additional Input'!$K$45=TRUE,$A184,$A184-('Additional Input'!$F$45-'Additional Input'!$N$9)),1)),0)))+Adjustments!D184)</f>
        <v/>
      </c>
      <c r="R184" s="656" t="str">
        <f ca="1">IF(A184&gt;'Additional Input'!$E$11,"",-((N184+Q184)*'Additional Input'!$D$12)+Adjustments!E184)</f>
        <v/>
      </c>
      <c r="S184" s="656" t="str">
        <f ca="1">IF(A184&gt;'Additional Input'!$E$11,"",IF($A184&gt;='Additional Input'!$D$19,-'Additional Input'!$D$18*(1+IF('Additional Input'!$F$18=TRUE,'Additional Input'!$D$13,0))^Projections!A184,0)-TaxTables!D76+Adjustments!F184)</f>
        <v/>
      </c>
      <c r="T184" s="654" t="str">
        <f ca="1">IF(A184&gt;'Additional Input'!$E$11,"",N184+Q184+R184+S184)</f>
        <v/>
      </c>
    </row>
    <row r="185" spans="1:20" hidden="1">
      <c r="A185" s="122">
        <f t="shared" si="6"/>
        <v>46</v>
      </c>
      <c r="B185" s="110" t="str">
        <f ca="1">IF(A185&gt;'Additional Input'!$E$11,"",IF('Additional Input'!$N$9="","",'Additional Input'!$N$9+Projections!A185)&amp;"/"&amp;IF('Additional Input'!$O$9="","",IF('Additional Input'!$O$9=0,"",'Additional Input'!$O$9+Projections!A185)))</f>
        <v/>
      </c>
      <c r="C185" s="122" t="str">
        <f ca="1">IF(A185&gt;'Additional Input'!$E$11,"",+C184+1)</f>
        <v/>
      </c>
      <c r="D185" s="159" t="str">
        <f ca="1">IF(A185&gt;'Additional Input'!$E$11,"",($D184*(1+'Additional Input'!$F$26))+$N184+$Q184+$R184+$S184)</f>
        <v/>
      </c>
      <c r="E185" s="159" t="str">
        <f ca="1">IF(A185&gt;'Additional Input'!$E$11,"",E184*(1+'Additional Input'!$F$28))</f>
        <v/>
      </c>
      <c r="F185" s="159" t="str">
        <f ca="1">IF(A185&gt;'Additional Input'!$E$11,"",($F184*(1+'Additional Input'!$F$27))-$Q184+IF(('Additional Input'!$K$40)&gt;A184,'Additional Input'!$D$40*(1+IF('Additional Input'!$H$40=TRUE,'Additional Input'!$D$13,0))^A184,0)+IF(('Additional Input'!$K$40)&gt;A184,'Additional Input'!$F$40*(1+IF('Additional Input'!$H$40=TRUE,'Additional Input'!$D$13,0))^A184,0))</f>
        <v/>
      </c>
      <c r="G185" s="646" t="str">
        <f ca="1">IF(A185&gt;'Additional Input'!$E$11,"",-VLOOKUP(A185*12,Amortization,2))</f>
        <v/>
      </c>
      <c r="H185" s="159" t="str">
        <f ca="1">IF(A185&gt;'Additional Input'!$E$11,"",IF(A185&lt;=Calculator!$F$7,Calculator!$D$7,0)+Calculator!$D$8)</f>
        <v/>
      </c>
      <c r="I185" s="159" t="str">
        <f ca="1">IF(A185&gt;'Additional Input'!$E$11,"",D185+E185+F185+G185+H185)</f>
        <v/>
      </c>
      <c r="J185" s="646" t="str">
        <f ca="1">IF(A185&gt;'Additional Input'!$E$11,"",0)</f>
        <v/>
      </c>
      <c r="K185" s="159" t="str">
        <f ca="1">IF(A185&gt;'Additional Input'!$E$11,"",0)</f>
        <v/>
      </c>
      <c r="L185" s="159" t="str">
        <f ca="1">IF(A185&gt;'Additional Input'!$E$11,"",J185+K185)</f>
        <v/>
      </c>
      <c r="M185" s="126" t="str">
        <f ca="1">IF(A185&gt;'Additional Input'!$E$11,"",(D185*'Additional Input'!$F$26)+(E185*'Additional Input'!$F$28)+(F185*'Additional Input'!$F$27))</f>
        <v/>
      </c>
      <c r="N185" s="126" t="str">
        <f ca="1">IF(A185&gt;'Additional Input'!$E$11,"",IF(('Additional Input'!$K$35)&gt;Projections!A185,'Additional Input'!$D$35*(1+IF('Additional Input'!$H$35=TRUE,'Additional Input'!$D$13,0))^Projections!A185,0)+IF(('Additional Input'!$K$36)&gt;Projections!A185,'Additional Input'!$D$36*(1+IF('Additional Input'!$H$36=TRUE,'Additional Input'!$D$13,0))^Projections!A185,0)-IF(('Additional Input'!$K$40)&gt;A185,'Additional Input'!$D$40*(1+IF('Additional Input'!$H$39=TRUE,'Additional Input'!$D$13,0))^A185,0)+IF(('Additional Input'!$F$37-'Additional Input'!$N$9)&lt;=Projections!A185,'Additional Input'!$D$37*(1+IF('Additional Input'!$H$37=TRUE,'Additional Input'!$D$13,0))^IF('Additional Input'!$K$37=TRUE,Projections!A185,Projections!A185-('Additional Input'!$F$37-'Additional Input'!$N$9)),0)+Adjustments!C185)</f>
        <v/>
      </c>
      <c r="O185" s="823" t="str">
        <f ca="1">IF(A185&gt;'Additional Input'!$E$11,"",IF(('Additional Input'!$N$9+Projections!$A185)&gt;=IF('Additional Input'!$K$44=TRUE,71,70),VLOOKUP(('Additional Input'!$N$9+Projections!$A185),UniformTable,2),0))</f>
        <v/>
      </c>
      <c r="P185" s="822" t="str">
        <f ca="1">IF(A185&gt;'Additional Input'!$E$11,"",IF($O185=0,0,$F185/$O185))</f>
        <v/>
      </c>
      <c r="Q185" s="178" t="str">
        <f ca="1">IF(A185&gt;'Additional Input'!$E$11,"",IF(IF('Additional Input'!$D$44=TRUE,IF($O185=0,0,$F185/$O185),IF('Additional Input'!$F$45-'Additional Input'!$N$9&lt;=Projections!$A185,IF($F185*(1+$F$4)&lt;'Additional Input'!$D$45*IF('Additional Input'!$H$45=TRUE,(1+'Additional Input'!$D$13)^IF('Additional Input'!$K$45=TRUE,$A185,$A185-('Additional Input'!$F$45-'Additional Input'!$N$9)),1),$F185*(1+$F$4),'Additional Input'!$D$45*IF('Additional Input'!$H$45=TRUE,(1+'Additional Input'!$D$13)^IF('Additional Input'!$K$45=TRUE,$A185,$A185-('Additional Input'!$F$45-'Additional Input'!$N$9)),1)),0))&lt;$P185,$P185,IF('Additional Input'!$D$44=TRUE,IF($O185=0,0,$F185/$O185),IF('Additional Input'!$F$45-'Additional Input'!$N$9&lt;=Projections!$A185,IF($F185*(1+$F$4)&lt;'Additional Input'!$D$45*IF('Additional Input'!$H$45=TRUE,(1+'Additional Input'!$D$13)^IF('Additional Input'!$K$45=TRUE,$A185,$A185-('Additional Input'!$F$45-'Additional Input'!$N$9)),1),$F185*(1+$F$4),'Additional Input'!$D$45*IF('Additional Input'!$H$45=TRUE,(1+'Additional Input'!$D$13)^IF('Additional Input'!$K$45=TRUE,$A185,$A185-('Additional Input'!$F$45-'Additional Input'!$N$9)),1)),0)))+Adjustments!D185)</f>
        <v/>
      </c>
      <c r="R185" s="571" t="str">
        <f ca="1">IF(A185&gt;'Additional Input'!$E$11,"",-((N185+Q185)*'Additional Input'!$D$12)+Adjustments!E185)</f>
        <v/>
      </c>
      <c r="S185" s="571" t="str">
        <f ca="1">IF(A185&gt;'Additional Input'!$E$11,"",IF($A185&gt;='Additional Input'!$D$19,-'Additional Input'!$D$18*(1+IF('Additional Input'!$F$18=TRUE,'Additional Input'!$D$13,0))^Projections!A185,0)-TaxTables!D77+Adjustments!F185)</f>
        <v/>
      </c>
      <c r="T185" s="126" t="str">
        <f ca="1">IF(A185&gt;'Additional Input'!$E$11,"",N185+Q185+R185+S185)</f>
        <v/>
      </c>
    </row>
    <row r="186" spans="1:20" hidden="1">
      <c r="A186" s="122">
        <f t="shared" si="6"/>
        <v>47</v>
      </c>
      <c r="B186" s="110" t="str">
        <f ca="1">IF(A186&gt;'Additional Input'!$E$11,"",IF('Additional Input'!$N$9="","",'Additional Input'!$N$9+Projections!A186)&amp;"/"&amp;IF('Additional Input'!$O$9="","",IF('Additional Input'!$O$9=0,"",'Additional Input'!$O$9+Projections!A186)))</f>
        <v/>
      </c>
      <c r="C186" s="122" t="str">
        <f ca="1">IF(A186&gt;'Additional Input'!$E$11,"",+C185+1)</f>
        <v/>
      </c>
      <c r="D186" s="159" t="str">
        <f ca="1">IF(A186&gt;'Additional Input'!$E$11,"",($D185*(1+'Additional Input'!$F$26))+$N185+$Q185+$R185+$S185)</f>
        <v/>
      </c>
      <c r="E186" s="159" t="str">
        <f ca="1">IF(A186&gt;'Additional Input'!$E$11,"",E185*(1+'Additional Input'!$F$28))</f>
        <v/>
      </c>
      <c r="F186" s="159" t="str">
        <f ca="1">IF(A186&gt;'Additional Input'!$E$11,"",($F185*(1+'Additional Input'!$F$27))-$Q185+IF(('Additional Input'!$K$40)&gt;A185,'Additional Input'!$D$40*(1+IF('Additional Input'!$H$40=TRUE,'Additional Input'!$D$13,0))^A185,0)+IF(('Additional Input'!$K$40)&gt;A185,'Additional Input'!$F$40*(1+IF('Additional Input'!$H$40=TRUE,'Additional Input'!$D$13,0))^A185,0))</f>
        <v/>
      </c>
      <c r="G186" s="646" t="str">
        <f ca="1">IF(A186&gt;'Additional Input'!$E$11,"",-VLOOKUP(A186*12,Amortization,2))</f>
        <v/>
      </c>
      <c r="H186" s="159" t="str">
        <f ca="1">IF(A186&gt;'Additional Input'!$E$11,"",IF(A186&lt;=Calculator!$F$7,Calculator!$D$7,0)+Calculator!$D$8)</f>
        <v/>
      </c>
      <c r="I186" s="159" t="str">
        <f ca="1">IF(A186&gt;'Additional Input'!$E$11,"",D186+E186+F186+G186+H186)</f>
        <v/>
      </c>
      <c r="J186" s="646" t="str">
        <f ca="1">IF(A186&gt;'Additional Input'!$E$11,"",0)</f>
        <v/>
      </c>
      <c r="K186" s="159" t="str">
        <f ca="1">IF(A186&gt;'Additional Input'!$E$11,"",0)</f>
        <v/>
      </c>
      <c r="L186" s="159" t="str">
        <f ca="1">IF(A186&gt;'Additional Input'!$E$11,"",J186+K186)</f>
        <v/>
      </c>
      <c r="M186" s="126" t="str">
        <f ca="1">IF(A186&gt;'Additional Input'!$E$11,"",(D186*'Additional Input'!$F$26)+(E186*'Additional Input'!$F$28)+(F186*'Additional Input'!$F$27))</f>
        <v/>
      </c>
      <c r="N186" s="126" t="str">
        <f ca="1">IF(A186&gt;'Additional Input'!$E$11,"",IF(('Additional Input'!$K$35)&gt;Projections!A186,'Additional Input'!$D$35*(1+IF('Additional Input'!$H$35=TRUE,'Additional Input'!$D$13,0))^Projections!A186,0)+IF(('Additional Input'!$K$36)&gt;Projections!A186,'Additional Input'!$D$36*(1+IF('Additional Input'!$H$36=TRUE,'Additional Input'!$D$13,0))^Projections!A186,0)-IF(('Additional Input'!$K$40)&gt;A186,'Additional Input'!$D$40*(1+IF('Additional Input'!$H$39=TRUE,'Additional Input'!$D$13,0))^A186,0)+IF(('Additional Input'!$F$37-'Additional Input'!$N$9)&lt;=Projections!A186,'Additional Input'!$D$37*(1+IF('Additional Input'!$H$37=TRUE,'Additional Input'!$D$13,0))^IF('Additional Input'!$K$37=TRUE,Projections!A186,Projections!A186-('Additional Input'!$F$37-'Additional Input'!$N$9)),0)+Adjustments!C186)</f>
        <v/>
      </c>
      <c r="O186" s="823" t="str">
        <f ca="1">IF(A186&gt;'Additional Input'!$E$11,"",IF(('Additional Input'!$N$9+Projections!$A186)&gt;=IF('Additional Input'!$K$44=TRUE,71,70),VLOOKUP(('Additional Input'!$N$9+Projections!$A186),UniformTable,2),0))</f>
        <v/>
      </c>
      <c r="P186" s="822" t="str">
        <f ca="1">IF(A186&gt;'Additional Input'!$E$11,"",IF($O186=0,0,$F186/$O186))</f>
        <v/>
      </c>
      <c r="Q186" s="178" t="str">
        <f ca="1">IF(A186&gt;'Additional Input'!$E$11,"",IF(IF('Additional Input'!$D$44=TRUE,IF($O186=0,0,$F186/$O186),IF('Additional Input'!$F$45-'Additional Input'!$N$9&lt;=Projections!$A186,IF($F186*(1+$F$4)&lt;'Additional Input'!$D$45*IF('Additional Input'!$H$45=TRUE,(1+'Additional Input'!$D$13)^IF('Additional Input'!$K$45=TRUE,$A186,$A186-('Additional Input'!$F$45-'Additional Input'!$N$9)),1),$F186*(1+$F$4),'Additional Input'!$D$45*IF('Additional Input'!$H$45=TRUE,(1+'Additional Input'!$D$13)^IF('Additional Input'!$K$45=TRUE,$A186,$A186-('Additional Input'!$F$45-'Additional Input'!$N$9)),1)),0))&lt;$P186,$P186,IF('Additional Input'!$D$44=TRUE,IF($O186=0,0,$F186/$O186),IF('Additional Input'!$F$45-'Additional Input'!$N$9&lt;=Projections!$A186,IF($F186*(1+$F$4)&lt;'Additional Input'!$D$45*IF('Additional Input'!$H$45=TRUE,(1+'Additional Input'!$D$13)^IF('Additional Input'!$K$45=TRUE,$A186,$A186-('Additional Input'!$F$45-'Additional Input'!$N$9)),1),$F186*(1+$F$4),'Additional Input'!$D$45*IF('Additional Input'!$H$45=TRUE,(1+'Additional Input'!$D$13)^IF('Additional Input'!$K$45=TRUE,$A186,$A186-('Additional Input'!$F$45-'Additional Input'!$N$9)),1)),0)))+Adjustments!D186)</f>
        <v/>
      </c>
      <c r="R186" s="571" t="str">
        <f ca="1">IF(A186&gt;'Additional Input'!$E$11,"",-((N186+Q186)*'Additional Input'!$D$12)+Adjustments!E186)</f>
        <v/>
      </c>
      <c r="S186" s="571" t="str">
        <f ca="1">IF(A186&gt;'Additional Input'!$E$11,"",IF($A186&gt;='Additional Input'!$D$19,-'Additional Input'!$D$18*(1+IF('Additional Input'!$F$18=TRUE,'Additional Input'!$D$13,0))^Projections!A186,0)-TaxTables!D78+Adjustments!F186)</f>
        <v/>
      </c>
      <c r="T186" s="126" t="str">
        <f ca="1">IF(A186&gt;'Additional Input'!$E$11,"",N186+Q186+R186+S186)</f>
        <v/>
      </c>
    </row>
    <row r="187" spans="1:20" hidden="1">
      <c r="A187" s="122">
        <f t="shared" si="6"/>
        <v>48</v>
      </c>
      <c r="B187" s="110" t="str">
        <f ca="1">IF(A187&gt;'Additional Input'!$E$11,"",IF('Additional Input'!$N$9="","",'Additional Input'!$N$9+Projections!A187)&amp;"/"&amp;IF('Additional Input'!$O$9="","",IF('Additional Input'!$O$9=0,"",'Additional Input'!$O$9+Projections!A187)))</f>
        <v/>
      </c>
      <c r="C187" s="122" t="str">
        <f ca="1">IF(A187&gt;'Additional Input'!$E$11,"",+C186+1)</f>
        <v/>
      </c>
      <c r="D187" s="159" t="str">
        <f ca="1">IF(A187&gt;'Additional Input'!$E$11,"",($D186*(1+'Additional Input'!$F$26))+$N186+$Q186+$R186+$S186)</f>
        <v/>
      </c>
      <c r="E187" s="159" t="str">
        <f ca="1">IF(A187&gt;'Additional Input'!$E$11,"",E186*(1+'Additional Input'!$F$28))</f>
        <v/>
      </c>
      <c r="F187" s="159" t="str">
        <f ca="1">IF(A187&gt;'Additional Input'!$E$11,"",($F186*(1+'Additional Input'!$F$27))-$Q186+IF(('Additional Input'!$K$40)&gt;A186,'Additional Input'!$D$40*(1+IF('Additional Input'!$H$40=TRUE,'Additional Input'!$D$13,0))^A186,0)+IF(('Additional Input'!$K$40)&gt;A186,'Additional Input'!$F$40*(1+IF('Additional Input'!$H$40=TRUE,'Additional Input'!$D$13,0))^A186,0))</f>
        <v/>
      </c>
      <c r="G187" s="646" t="str">
        <f ca="1">IF(A187&gt;'Additional Input'!$E$11,"",-VLOOKUP(A187*12,Amortization,2))</f>
        <v/>
      </c>
      <c r="H187" s="159" t="str">
        <f ca="1">IF(A187&gt;'Additional Input'!$E$11,"",IF(A187&lt;=Calculator!$F$7,Calculator!$D$7,0)+Calculator!$D$8)</f>
        <v/>
      </c>
      <c r="I187" s="159" t="str">
        <f ca="1">IF(A187&gt;'Additional Input'!$E$11,"",D187+E187+F187+G187+H187)</f>
        <v/>
      </c>
      <c r="J187" s="646" t="str">
        <f ca="1">IF(A187&gt;'Additional Input'!$E$11,"",0)</f>
        <v/>
      </c>
      <c r="K187" s="159" t="str">
        <f ca="1">IF(A187&gt;'Additional Input'!$E$11,"",0)</f>
        <v/>
      </c>
      <c r="L187" s="159" t="str">
        <f ca="1">IF(A187&gt;'Additional Input'!$E$11,"",J187+K187)</f>
        <v/>
      </c>
      <c r="M187" s="126" t="str">
        <f ca="1">IF(A187&gt;'Additional Input'!$E$11,"",(D187*'Additional Input'!$F$26)+(E187*'Additional Input'!$F$28)+(F187*'Additional Input'!$F$27))</f>
        <v/>
      </c>
      <c r="N187" s="126" t="str">
        <f ca="1">IF(A187&gt;'Additional Input'!$E$11,"",IF(('Additional Input'!$K$35)&gt;Projections!A187,'Additional Input'!$D$35*(1+IF('Additional Input'!$H$35=TRUE,'Additional Input'!$D$13,0))^Projections!A187,0)+IF(('Additional Input'!$K$36)&gt;Projections!A187,'Additional Input'!$D$36*(1+IF('Additional Input'!$H$36=TRUE,'Additional Input'!$D$13,0))^Projections!A187,0)-IF(('Additional Input'!$K$40)&gt;A187,'Additional Input'!$D$40*(1+IF('Additional Input'!$H$39=TRUE,'Additional Input'!$D$13,0))^A187,0)+IF(('Additional Input'!$F$37-'Additional Input'!$N$9)&lt;=Projections!A187,'Additional Input'!$D$37*(1+IF('Additional Input'!$H$37=TRUE,'Additional Input'!$D$13,0))^IF('Additional Input'!$K$37=TRUE,Projections!A187,Projections!A187-('Additional Input'!$F$37-'Additional Input'!$N$9)),0)+Adjustments!C187)</f>
        <v/>
      </c>
      <c r="O187" s="823" t="str">
        <f ca="1">IF(A187&gt;'Additional Input'!$E$11,"",IF(('Additional Input'!$N$9+Projections!$A187)&gt;=IF('Additional Input'!$K$44=TRUE,71,70),VLOOKUP(('Additional Input'!$N$9+Projections!$A187),UniformTable,2),0))</f>
        <v/>
      </c>
      <c r="P187" s="822" t="str">
        <f ca="1">IF(A187&gt;'Additional Input'!$E$11,"",IF($O187=0,0,$F187/$O187))</f>
        <v/>
      </c>
      <c r="Q187" s="178" t="str">
        <f ca="1">IF(A187&gt;'Additional Input'!$E$11,"",IF(IF('Additional Input'!$D$44=TRUE,IF($O187=0,0,$F187/$O187),IF('Additional Input'!$F$45-'Additional Input'!$N$9&lt;=Projections!$A187,IF($F187*(1+$F$4)&lt;'Additional Input'!$D$45*IF('Additional Input'!$H$45=TRUE,(1+'Additional Input'!$D$13)^IF('Additional Input'!$K$45=TRUE,$A187,$A187-('Additional Input'!$F$45-'Additional Input'!$N$9)),1),$F187*(1+$F$4),'Additional Input'!$D$45*IF('Additional Input'!$H$45=TRUE,(1+'Additional Input'!$D$13)^IF('Additional Input'!$K$45=TRUE,$A187,$A187-('Additional Input'!$F$45-'Additional Input'!$N$9)),1)),0))&lt;$P187,$P187,IF('Additional Input'!$D$44=TRUE,IF($O187=0,0,$F187/$O187),IF('Additional Input'!$F$45-'Additional Input'!$N$9&lt;=Projections!$A187,IF($F187*(1+$F$4)&lt;'Additional Input'!$D$45*IF('Additional Input'!$H$45=TRUE,(1+'Additional Input'!$D$13)^IF('Additional Input'!$K$45=TRUE,$A187,$A187-('Additional Input'!$F$45-'Additional Input'!$N$9)),1),$F187*(1+$F$4),'Additional Input'!$D$45*IF('Additional Input'!$H$45=TRUE,(1+'Additional Input'!$D$13)^IF('Additional Input'!$K$45=TRUE,$A187,$A187-('Additional Input'!$F$45-'Additional Input'!$N$9)),1)),0)))+Adjustments!D187)</f>
        <v/>
      </c>
      <c r="R187" s="571" t="str">
        <f ca="1">IF(A187&gt;'Additional Input'!$E$11,"",-((N187+Q187)*'Additional Input'!$D$12)+Adjustments!E187)</f>
        <v/>
      </c>
      <c r="S187" s="571" t="str">
        <f ca="1">IF(A187&gt;'Additional Input'!$E$11,"",IF($A187&gt;='Additional Input'!$D$19,-'Additional Input'!$D$18*(1+IF('Additional Input'!$F$18=TRUE,'Additional Input'!$D$13,0))^Projections!A187,0)-TaxTables!D79+Adjustments!F187)</f>
        <v/>
      </c>
      <c r="T187" s="126" t="str">
        <f ca="1">IF(A187&gt;'Additional Input'!$E$11,"",N187+Q187+R187+S187)</f>
        <v/>
      </c>
    </row>
    <row r="188" spans="1:20" hidden="1">
      <c r="A188" s="122">
        <f t="shared" si="6"/>
        <v>49</v>
      </c>
      <c r="B188" s="110" t="str">
        <f ca="1">IF(A188&gt;'Additional Input'!$E$11,"",IF('Additional Input'!$N$9="","",'Additional Input'!$N$9+Projections!A188)&amp;"/"&amp;IF('Additional Input'!$O$9="","",IF('Additional Input'!$O$9=0,"",'Additional Input'!$O$9+Projections!A188)))</f>
        <v/>
      </c>
      <c r="C188" s="122" t="str">
        <f ca="1">IF(A188&gt;'Additional Input'!$E$11,"",+C187+1)</f>
        <v/>
      </c>
      <c r="D188" s="159" t="str">
        <f ca="1">IF(A188&gt;'Additional Input'!$E$11,"",($D187*(1+'Additional Input'!$F$26))+$N187+$Q187+$R187+$S187)</f>
        <v/>
      </c>
      <c r="E188" s="159" t="str">
        <f ca="1">IF(A188&gt;'Additional Input'!$E$11,"",E187*(1+'Additional Input'!$F$28))</f>
        <v/>
      </c>
      <c r="F188" s="159" t="str">
        <f ca="1">IF(A188&gt;'Additional Input'!$E$11,"",($F187*(1+'Additional Input'!$F$27))-$Q187+IF(('Additional Input'!$K$40)&gt;A187,'Additional Input'!$D$40*(1+IF('Additional Input'!$H$40=TRUE,'Additional Input'!$D$13,0))^A187,0)+IF(('Additional Input'!$K$40)&gt;A187,'Additional Input'!$F$40*(1+IF('Additional Input'!$H$40=TRUE,'Additional Input'!$D$13,0))^A187,0))</f>
        <v/>
      </c>
      <c r="G188" s="646" t="str">
        <f ca="1">IF(A188&gt;'Additional Input'!$E$11,"",-VLOOKUP(A188*12,Amortization,2))</f>
        <v/>
      </c>
      <c r="H188" s="159" t="str">
        <f ca="1">IF(A188&gt;'Additional Input'!$E$11,"",IF(A188&lt;=Calculator!$F$7,Calculator!$D$7,0)+Calculator!$D$8)</f>
        <v/>
      </c>
      <c r="I188" s="159" t="str">
        <f ca="1">IF(A188&gt;'Additional Input'!$E$11,"",D188+E188+F188+G188+H188)</f>
        <v/>
      </c>
      <c r="J188" s="646" t="str">
        <f ca="1">IF(A188&gt;'Additional Input'!$E$11,"",0)</f>
        <v/>
      </c>
      <c r="K188" s="159" t="str">
        <f ca="1">IF(A188&gt;'Additional Input'!$E$11,"",0)</f>
        <v/>
      </c>
      <c r="L188" s="159" t="str">
        <f ca="1">IF(A188&gt;'Additional Input'!$E$11,"",J188+K188)</f>
        <v/>
      </c>
      <c r="M188" s="126" t="str">
        <f ca="1">IF(A188&gt;'Additional Input'!$E$11,"",(D188*'Additional Input'!$F$26)+(E188*'Additional Input'!$F$28)+(F188*'Additional Input'!$F$27))</f>
        <v/>
      </c>
      <c r="N188" s="126" t="str">
        <f ca="1">IF(A188&gt;'Additional Input'!$E$11,"",IF(('Additional Input'!$K$35)&gt;Projections!A188,'Additional Input'!$D$35*(1+IF('Additional Input'!$H$35=TRUE,'Additional Input'!$D$13,0))^Projections!A188,0)+IF(('Additional Input'!$K$36)&gt;Projections!A188,'Additional Input'!$D$36*(1+IF('Additional Input'!$H$36=TRUE,'Additional Input'!$D$13,0))^Projections!A188,0)-IF(('Additional Input'!$K$40)&gt;A188,'Additional Input'!$D$40*(1+IF('Additional Input'!$H$39=TRUE,'Additional Input'!$D$13,0))^A188,0)+IF(('Additional Input'!$F$37-'Additional Input'!$N$9)&lt;=Projections!A188,'Additional Input'!$D$37*(1+IF('Additional Input'!$H$37=TRUE,'Additional Input'!$D$13,0))^IF('Additional Input'!$K$37=TRUE,Projections!A188,Projections!A188-('Additional Input'!$F$37-'Additional Input'!$N$9)),0)+Adjustments!C188)</f>
        <v/>
      </c>
      <c r="O188" s="823" t="str">
        <f ca="1">IF(A188&gt;'Additional Input'!$E$11,"",IF(('Additional Input'!$N$9+Projections!$A188)&gt;=IF('Additional Input'!$K$44=TRUE,71,70),VLOOKUP(('Additional Input'!$N$9+Projections!$A188),UniformTable,2),0))</f>
        <v/>
      </c>
      <c r="P188" s="822" t="str">
        <f ca="1">IF(A188&gt;'Additional Input'!$E$11,"",IF($O188=0,0,$F188/$O188))</f>
        <v/>
      </c>
      <c r="Q188" s="178" t="str">
        <f ca="1">IF(A188&gt;'Additional Input'!$E$11,"",IF(IF('Additional Input'!$D$44=TRUE,IF($O188=0,0,$F188/$O188),IF('Additional Input'!$F$45-'Additional Input'!$N$9&lt;=Projections!$A188,IF($F188*(1+$F$4)&lt;'Additional Input'!$D$45*IF('Additional Input'!$H$45=TRUE,(1+'Additional Input'!$D$13)^IF('Additional Input'!$K$45=TRUE,$A188,$A188-('Additional Input'!$F$45-'Additional Input'!$N$9)),1),$F188*(1+$F$4),'Additional Input'!$D$45*IF('Additional Input'!$H$45=TRUE,(1+'Additional Input'!$D$13)^IF('Additional Input'!$K$45=TRUE,$A188,$A188-('Additional Input'!$F$45-'Additional Input'!$N$9)),1)),0))&lt;$P188,$P188,IF('Additional Input'!$D$44=TRUE,IF($O188=0,0,$F188/$O188),IF('Additional Input'!$F$45-'Additional Input'!$N$9&lt;=Projections!$A188,IF($F188*(1+$F$4)&lt;'Additional Input'!$D$45*IF('Additional Input'!$H$45=TRUE,(1+'Additional Input'!$D$13)^IF('Additional Input'!$K$45=TRUE,$A188,$A188-('Additional Input'!$F$45-'Additional Input'!$N$9)),1),$F188*(1+$F$4),'Additional Input'!$D$45*IF('Additional Input'!$H$45=TRUE,(1+'Additional Input'!$D$13)^IF('Additional Input'!$K$45=TRUE,$A188,$A188-('Additional Input'!$F$45-'Additional Input'!$N$9)),1)),0)))+Adjustments!D188)</f>
        <v/>
      </c>
      <c r="R188" s="571" t="str">
        <f ca="1">IF(A188&gt;'Additional Input'!$E$11,"",-((N188+Q188)*'Additional Input'!$D$12)+Adjustments!E188)</f>
        <v/>
      </c>
      <c r="S188" s="571" t="str">
        <f ca="1">IF(A188&gt;'Additional Input'!$E$11,"",IF($A188&gt;='Additional Input'!$D$19,-'Additional Input'!$D$18*(1+IF('Additional Input'!$F$18=TRUE,'Additional Input'!$D$13,0))^Projections!A188,0)-TaxTables!D80+Adjustments!F188)</f>
        <v/>
      </c>
      <c r="T188" s="126" t="str">
        <f ca="1">IF(A188&gt;'Additional Input'!$E$11,"",N188+Q188+R188+S188)</f>
        <v/>
      </c>
    </row>
    <row r="189" spans="1:20">
      <c r="A189" s="650">
        <f t="shared" si="6"/>
        <v>50</v>
      </c>
      <c r="B189" s="651" t="str">
        <f ca="1">IF(A189&gt;'Additional Input'!$E$11,"",IF('Additional Input'!$N$9="","",'Additional Input'!$N$9+Projections!A189)&amp;"/"&amp;IF('Additional Input'!$O$9="","",IF('Additional Input'!$O$9=0,"",'Additional Input'!$O$9+Projections!A189)))</f>
        <v/>
      </c>
      <c r="C189" s="650" t="str">
        <f ca="1">IF(A189&gt;'Additional Input'!$E$11,"",+C188+1)</f>
        <v/>
      </c>
      <c r="D189" s="721" t="str">
        <f ca="1">IF(A189&gt;'Additional Input'!$E$11,"",($D188*(1+'Additional Input'!$F$26))+$N188+$Q188+$R188+$S188)</f>
        <v/>
      </c>
      <c r="E189" s="653" t="str">
        <f ca="1">IF(A189&gt;'Additional Input'!$E$11,"",E188*(1+'Additional Input'!$F$28))</f>
        <v/>
      </c>
      <c r="F189" s="653" t="str">
        <f ca="1">IF(A189&gt;'Additional Input'!$E$11,"",($F188*(1+'Additional Input'!$F$27))-$Q188+IF(('Additional Input'!$K$40)&gt;A188,'Additional Input'!$D$40*(1+IF('Additional Input'!$H$40=TRUE,'Additional Input'!$D$13,0))^A188,0)+IF(('Additional Input'!$K$40)&gt;A188,'Additional Input'!$F$40*(1+IF('Additional Input'!$H$40=TRUE,'Additional Input'!$D$13,0))^A188,0))</f>
        <v/>
      </c>
      <c r="G189" s="853" t="str">
        <f ca="1">IF(A189&gt;'Additional Input'!$E$11,"",-VLOOKUP(A189*12,Amortization,2))</f>
        <v/>
      </c>
      <c r="H189" s="721" t="str">
        <f ca="1">IF(A189&gt;'Additional Input'!$E$11,"",IF(A189&lt;=Calculator!$F$7,Calculator!$D$7,0)+Calculator!$D$8)</f>
        <v/>
      </c>
      <c r="I189" s="652" t="str">
        <f ca="1">IF(A189&gt;'Additional Input'!$E$11,"",D189+E189+F189+G189+H189)</f>
        <v/>
      </c>
      <c r="J189" s="720" t="str">
        <f ca="1">IF(A189&gt;'Additional Input'!$E$11,"",0)</f>
        <v/>
      </c>
      <c r="K189" s="721" t="str">
        <f ca="1">IF(A189&gt;'Additional Input'!$E$11,"",0)</f>
        <v/>
      </c>
      <c r="L189" s="652" t="str">
        <f ca="1">IF(A189&gt;'Additional Input'!$E$11,"",J189+K189)</f>
        <v/>
      </c>
      <c r="M189" s="654" t="str">
        <f ca="1">IF(A189&gt;'Additional Input'!$E$11,"",(D189*'Additional Input'!$F$26)+(E189*'Additional Input'!$F$28)+(F189*'Additional Input'!$F$27))</f>
        <v/>
      </c>
      <c r="N189" s="655" t="str">
        <f ca="1">IF(A189&gt;'Additional Input'!$E$11,"",IF(('Additional Input'!$K$35)&gt;Projections!A189,'Additional Input'!$D$35*(1+IF('Additional Input'!$H$35=TRUE,'Additional Input'!$D$13,0))^Projections!A189,0)+IF(('Additional Input'!$K$36)&gt;Projections!A189,'Additional Input'!$D$36*(1+IF('Additional Input'!$H$36=TRUE,'Additional Input'!$D$13,0))^Projections!A189,0)-IF(('Additional Input'!$K$40)&gt;A189,'Additional Input'!$D$40*(1+IF('Additional Input'!$H$39=TRUE,'Additional Input'!$D$13,0))^A189,0)+IF(('Additional Input'!$F$37-'Additional Input'!$N$9)&lt;=Projections!A189,'Additional Input'!$D$37*(1+IF('Additional Input'!$H$37=TRUE,'Additional Input'!$D$13,0))^IF('Additional Input'!$K$37=TRUE,Projections!A189,Projections!A189-('Additional Input'!$F$37-'Additional Input'!$N$9)),0)+Adjustments!C189)</f>
        <v/>
      </c>
      <c r="O189" s="824" t="str">
        <f ca="1">IF(A189&gt;'Additional Input'!$E$11,"",IF(('Additional Input'!$N$9+Projections!$A189)&gt;=IF('Additional Input'!$K$44=TRUE,71,70),VLOOKUP(('Additional Input'!$N$9+Projections!$A189),UniformTable,2),0))</f>
        <v/>
      </c>
      <c r="P189" s="825" t="str">
        <f ca="1">IF(A189&gt;'Additional Input'!$E$11,"",IF($O189=0,0,$F189/$O189))</f>
        <v/>
      </c>
      <c r="Q189" s="655" t="str">
        <f ca="1">IF(A189&gt;'Additional Input'!$E$11,"",IF(IF('Additional Input'!$D$44=TRUE,IF($O189=0,0,$F189/$O189),IF('Additional Input'!$F$45-'Additional Input'!$N$9&lt;=Projections!$A189,IF($F189*(1+$F$4)&lt;'Additional Input'!$D$45*IF('Additional Input'!$H$45=TRUE,(1+'Additional Input'!$D$13)^IF('Additional Input'!$K$45=TRUE,$A189,$A189-('Additional Input'!$F$45-'Additional Input'!$N$9)),1),$F189*(1+$F$4),'Additional Input'!$D$45*IF('Additional Input'!$H$45=TRUE,(1+'Additional Input'!$D$13)^IF('Additional Input'!$K$45=TRUE,$A189,$A189-('Additional Input'!$F$45-'Additional Input'!$N$9)),1)),0))&lt;$P189,$P189,IF('Additional Input'!$D$44=TRUE,IF($O189=0,0,$F189/$O189),IF('Additional Input'!$F$45-'Additional Input'!$N$9&lt;=Projections!$A189,IF($F189*(1+$F$4)&lt;'Additional Input'!$D$45*IF('Additional Input'!$H$45=TRUE,(1+'Additional Input'!$D$13)^IF('Additional Input'!$K$45=TRUE,$A189,$A189-('Additional Input'!$F$45-'Additional Input'!$N$9)),1),$F189*(1+$F$4),'Additional Input'!$D$45*IF('Additional Input'!$H$45=TRUE,(1+'Additional Input'!$D$13)^IF('Additional Input'!$K$45=TRUE,$A189,$A189-('Additional Input'!$F$45-'Additional Input'!$N$9)),1)),0)))+Adjustments!D189)</f>
        <v/>
      </c>
      <c r="R189" s="656" t="str">
        <f ca="1">IF(A189&gt;'Additional Input'!$E$11,"",-((N189+Q189)*'Additional Input'!$D$12)+Adjustments!E189)</f>
        <v/>
      </c>
      <c r="S189" s="656" t="str">
        <f ca="1">IF(A189&gt;'Additional Input'!$E$11,"",IF($A189&gt;='Additional Input'!$D$19,-'Additional Input'!$D$18*(1+IF('Additional Input'!$F$18=TRUE,'Additional Input'!$D$13,0))^Projections!A189,0)-TaxTables!D81+Adjustments!F189)</f>
        <v/>
      </c>
      <c r="T189" s="654" t="str">
        <f ca="1">IF(A189&gt;'Additional Input'!$E$11,"",N189+Q189+R189+S189)</f>
        <v/>
      </c>
    </row>
    <row r="190" spans="1:20" hidden="1">
      <c r="A190" s="118">
        <f t="shared" si="6"/>
        <v>51</v>
      </c>
      <c r="B190" s="110" t="str">
        <f ca="1">IF(A190&gt;'Additional Input'!$E$11,"",IF('Additional Input'!$N$9="","",'Additional Input'!$N$9+Projections!A190)&amp;"/"&amp;IF('Additional Input'!$O$9="","",IF('Additional Input'!$O$9=0,"",'Additional Input'!$O$9+Projections!A190)))</f>
        <v/>
      </c>
      <c r="C190" s="122" t="str">
        <f ca="1">IF(A190&gt;'Additional Input'!$E$11,"",+C189+1)</f>
        <v/>
      </c>
      <c r="D190" s="159" t="str">
        <f ca="1">IF(A190&gt;'Additional Input'!$E$11,"",($D189*(1+'Additional Input'!$F$26))+$N189+$Q189+$R189+$S189)</f>
        <v/>
      </c>
      <c r="E190" s="159" t="str">
        <f ca="1">IF(A190&gt;'Additional Input'!$E$11,"",E189*(1+'Additional Input'!$F$28))</f>
        <v/>
      </c>
      <c r="F190" s="159" t="str">
        <f ca="1">IF(A190&gt;'Additional Input'!$E$11,"",($F189*(1+'Additional Input'!$F$27))-$Q189+IF(('Additional Input'!$K$40)&gt;A189,'Additional Input'!$D$40*(1+IF('Additional Input'!$H$40=TRUE,'Additional Input'!$D$13,0))^A189,0)+IF(('Additional Input'!$K$40)&gt;A189,'Additional Input'!$F$40*(1+IF('Additional Input'!$H$40=TRUE,'Additional Input'!$D$13,0))^A189,0))</f>
        <v/>
      </c>
      <c r="G190" s="646" t="str">
        <f ca="1">IF(A190&gt;'Additional Input'!$E$11,"",-VLOOKUP(A190*12,Amortization,2))</f>
        <v/>
      </c>
      <c r="H190" s="159" t="str">
        <f ca="1">IF(A190&gt;'Additional Input'!$E$11,"",IF(A190&lt;=Calculator!$F$7,Calculator!$D$7,0)+Calculator!$D$8)</f>
        <v/>
      </c>
      <c r="I190" s="159" t="str">
        <f ca="1">IF(A190&gt;'Additional Input'!$E$11,"",D190+E190+F190+G190+H190)</f>
        <v/>
      </c>
      <c r="J190" s="646" t="str">
        <f ca="1">IF(A190&gt;'Additional Input'!$E$11,"",0)</f>
        <v/>
      </c>
      <c r="K190" s="159" t="str">
        <f ca="1">IF(A190&gt;'Additional Input'!$E$11,"",0)</f>
        <v/>
      </c>
      <c r="L190" s="159" t="str">
        <f ca="1">IF(A190&gt;'Additional Input'!$E$11,"",J190+K190)</f>
        <v/>
      </c>
      <c r="M190" s="126" t="str">
        <f ca="1">IF(A190&gt;'Additional Input'!$E$11,"",(D190*'Additional Input'!$F$26)+(E190*'Additional Input'!$F$28)+(F190*'Additional Input'!$F$27))</f>
        <v/>
      </c>
      <c r="N190" s="126" t="str">
        <f ca="1">IF(A190&gt;'Additional Input'!$E$11,"",IF(('Additional Input'!$K$35)&gt;Projections!A190,'Additional Input'!$D$35*(1+IF('Additional Input'!$H$35=TRUE,'Additional Input'!$D$13,0))^Projections!A190,0)+IF(('Additional Input'!$K$36)&gt;Projections!A190,'Additional Input'!$D$36*(1+IF('Additional Input'!$H$36=TRUE,'Additional Input'!$D$13,0))^Projections!A190,0)-IF(('Additional Input'!$K$40)&gt;A190,'Additional Input'!$D$40*(1+IF('Additional Input'!$H$39=TRUE,'Additional Input'!$D$13,0))^A190,0)+IF(('Additional Input'!$F$37-'Additional Input'!$N$9)&lt;=Projections!A190,'Additional Input'!$D$37*(1+IF('Additional Input'!$H$37=TRUE,'Additional Input'!$D$13,0))^IF('Additional Input'!$K$37=TRUE,Projections!A190,Projections!A190-('Additional Input'!$F$37-'Additional Input'!$N$9)),0)+Adjustments!C190)</f>
        <v/>
      </c>
      <c r="O190" s="823" t="str">
        <f ca="1">IF(A190&gt;'Additional Input'!$E$11,"",IF(('Additional Input'!$N$9+Projections!$A190)&gt;=IF('Additional Input'!$K$44=TRUE,71,70),VLOOKUP(('Additional Input'!$N$9+Projections!$A190),UniformTable,2),0))</f>
        <v/>
      </c>
      <c r="P190" s="822" t="str">
        <f ca="1">IF(A190&gt;'Additional Input'!$E$11,"",IF($O190=0,0,$F190/$O190))</f>
        <v/>
      </c>
      <c r="Q190" s="178" t="str">
        <f ca="1">IF(A190&gt;'Additional Input'!$E$11,"",IF(IF('Additional Input'!$D$44=TRUE,IF($O190=0,0,$F190/$O190),IF('Additional Input'!$F$45-'Additional Input'!$N$9&lt;=Projections!$A190,IF($F190*(1+$F$4)&lt;'Additional Input'!$D$45*IF('Additional Input'!$H$45=TRUE,(1+'Additional Input'!$D$13)^IF('Additional Input'!$K$45=TRUE,$A190,$A190-('Additional Input'!$F$45-'Additional Input'!$N$9)),1),$F190*(1+$F$4),'Additional Input'!$D$45*IF('Additional Input'!$H$45=TRUE,(1+'Additional Input'!$D$13)^IF('Additional Input'!$K$45=TRUE,$A190,$A190-('Additional Input'!$F$45-'Additional Input'!$N$9)),1)),0))&lt;$P190,$P190,IF('Additional Input'!$D$44=TRUE,IF($O190=0,0,$F190/$O190),IF('Additional Input'!$F$45-'Additional Input'!$N$9&lt;=Projections!$A190,IF($F190*(1+$F$4)&lt;'Additional Input'!$D$45*IF('Additional Input'!$H$45=TRUE,(1+'Additional Input'!$D$13)^IF('Additional Input'!$K$45=TRUE,$A190,$A190-('Additional Input'!$F$45-'Additional Input'!$N$9)),1),$F190*(1+$F$4),'Additional Input'!$D$45*IF('Additional Input'!$H$45=TRUE,(1+'Additional Input'!$D$13)^IF('Additional Input'!$K$45=TRUE,$A190,$A190-('Additional Input'!$F$45-'Additional Input'!$N$9)),1)),0)))+Adjustments!D190)</f>
        <v/>
      </c>
      <c r="R190" s="571" t="str">
        <f ca="1">IF(A190&gt;'Additional Input'!$E$11,"",-((N190+Q190)*'Additional Input'!$D$12)+Adjustments!E190)</f>
        <v/>
      </c>
      <c r="S190" s="571" t="str">
        <f ca="1">IF(A190&gt;'Additional Input'!$E$11,"",IF($A190&gt;='Additional Input'!$D$19,-'Additional Input'!$D$18*(1+IF('Additional Input'!$F$18=TRUE,'Additional Input'!$D$13,0))^Projections!A190,0)-TaxTables!D82+Adjustments!F190)</f>
        <v/>
      </c>
      <c r="T190" s="126" t="str">
        <f ca="1">IF(A190&gt;'Additional Input'!$E$11,"",N190+Q190+R190+S190)</f>
        <v/>
      </c>
    </row>
    <row r="191" spans="1:20" hidden="1">
      <c r="A191" s="118">
        <f t="shared" si="6"/>
        <v>52</v>
      </c>
      <c r="B191" s="110" t="str">
        <f ca="1">IF(A191&gt;'Additional Input'!$E$11,"",IF('Additional Input'!$N$9="","",'Additional Input'!$N$9+Projections!A191)&amp;"/"&amp;IF('Additional Input'!$O$9="","",IF('Additional Input'!$O$9=0,"",'Additional Input'!$O$9+Projections!A191)))</f>
        <v/>
      </c>
      <c r="C191" s="122" t="str">
        <f ca="1">IF(A191&gt;'Additional Input'!$E$11,"",+C190+1)</f>
        <v/>
      </c>
      <c r="D191" s="159" t="str">
        <f ca="1">IF(A191&gt;'Additional Input'!$E$11,"",($D190*(1+'Additional Input'!$F$26))+$N190+$Q190+$R190+$S190)</f>
        <v/>
      </c>
      <c r="E191" s="159" t="str">
        <f ca="1">IF(A191&gt;'Additional Input'!$E$11,"",E190*(1+'Additional Input'!$F$28))</f>
        <v/>
      </c>
      <c r="F191" s="159" t="str">
        <f ca="1">IF(A191&gt;'Additional Input'!$E$11,"",($F190*(1+'Additional Input'!$F$27))-$Q190+IF(('Additional Input'!$K$40)&gt;A190,'Additional Input'!$D$40*(1+IF('Additional Input'!$H$40=TRUE,'Additional Input'!$D$13,0))^A190,0)+IF(('Additional Input'!$K$40)&gt;A190,'Additional Input'!$F$40*(1+IF('Additional Input'!$H$40=TRUE,'Additional Input'!$D$13,0))^A190,0))</f>
        <v/>
      </c>
      <c r="G191" s="646" t="str">
        <f ca="1">IF(A191&gt;'Additional Input'!$E$11,"",-VLOOKUP(A191*12,Amortization,2))</f>
        <v/>
      </c>
      <c r="H191" s="159" t="str">
        <f ca="1">IF(A191&gt;'Additional Input'!$E$11,"",IF(A191&lt;=Calculator!$F$7,Calculator!$D$7,0)+Calculator!$D$8)</f>
        <v/>
      </c>
      <c r="I191" s="159" t="str">
        <f ca="1">IF(A191&gt;'Additional Input'!$E$11,"",D191+E191+F191+G191+H191)</f>
        <v/>
      </c>
      <c r="J191" s="646" t="str">
        <f ca="1">IF(A191&gt;'Additional Input'!$E$11,"",0)</f>
        <v/>
      </c>
      <c r="K191" s="159" t="str">
        <f ca="1">IF(A191&gt;'Additional Input'!$E$11,"",0)</f>
        <v/>
      </c>
      <c r="L191" s="159" t="str">
        <f ca="1">IF(A191&gt;'Additional Input'!$E$11,"",J191+K191)</f>
        <v/>
      </c>
      <c r="M191" s="126" t="str">
        <f ca="1">IF(A191&gt;'Additional Input'!$E$11,"",(D191*'Additional Input'!$F$26)+(E191*'Additional Input'!$F$28)+(F191*'Additional Input'!$F$27))</f>
        <v/>
      </c>
      <c r="N191" s="126" t="str">
        <f ca="1">IF(A191&gt;'Additional Input'!$E$11,"",IF(('Additional Input'!$K$35)&gt;Projections!A191,'Additional Input'!$D$35*(1+IF('Additional Input'!$H$35=TRUE,'Additional Input'!$D$13,0))^Projections!A191,0)+IF(('Additional Input'!$K$36)&gt;Projections!A191,'Additional Input'!$D$36*(1+IF('Additional Input'!$H$36=TRUE,'Additional Input'!$D$13,0))^Projections!A191,0)-IF(('Additional Input'!$K$40)&gt;A191,'Additional Input'!$D$40*(1+IF('Additional Input'!$H$39=TRUE,'Additional Input'!$D$13,0))^A191,0)+IF(('Additional Input'!$F$37-'Additional Input'!$N$9)&lt;=Projections!A191,'Additional Input'!$D$37*(1+IF('Additional Input'!$H$37=TRUE,'Additional Input'!$D$13,0))^IF('Additional Input'!$K$37=TRUE,Projections!A191,Projections!A191-('Additional Input'!$F$37-'Additional Input'!$N$9)),0)+Adjustments!C191)</f>
        <v/>
      </c>
      <c r="O191" s="823" t="str">
        <f ca="1">IF(A191&gt;'Additional Input'!$E$11,"",IF(('Additional Input'!$N$9+Projections!$A191)&gt;=IF('Additional Input'!$K$44=TRUE,71,70),VLOOKUP(('Additional Input'!$N$9+Projections!$A191),UniformTable,2),0))</f>
        <v/>
      </c>
      <c r="P191" s="822" t="str">
        <f ca="1">IF(A191&gt;'Additional Input'!$E$11,"",IF($O191=0,0,$F191/$O191))</f>
        <v/>
      </c>
      <c r="Q191" s="178" t="str">
        <f ca="1">IF(A191&gt;'Additional Input'!$E$11,"",IF(IF('Additional Input'!$D$44=TRUE,IF($O191=0,0,$F191/$O191),IF('Additional Input'!$F$45-'Additional Input'!$N$9&lt;=Projections!$A191,IF($F191*(1+$F$4)&lt;'Additional Input'!$D$45*IF('Additional Input'!$H$45=TRUE,(1+'Additional Input'!$D$13)^IF('Additional Input'!$K$45=TRUE,$A191,$A191-('Additional Input'!$F$45-'Additional Input'!$N$9)),1),$F191*(1+$F$4),'Additional Input'!$D$45*IF('Additional Input'!$H$45=TRUE,(1+'Additional Input'!$D$13)^IF('Additional Input'!$K$45=TRUE,$A191,$A191-('Additional Input'!$F$45-'Additional Input'!$N$9)),1)),0))&lt;$P191,$P191,IF('Additional Input'!$D$44=TRUE,IF($O191=0,0,$F191/$O191),IF('Additional Input'!$F$45-'Additional Input'!$N$9&lt;=Projections!$A191,IF($F191*(1+$F$4)&lt;'Additional Input'!$D$45*IF('Additional Input'!$H$45=TRUE,(1+'Additional Input'!$D$13)^IF('Additional Input'!$K$45=TRUE,$A191,$A191-('Additional Input'!$F$45-'Additional Input'!$N$9)),1),$F191*(1+$F$4),'Additional Input'!$D$45*IF('Additional Input'!$H$45=TRUE,(1+'Additional Input'!$D$13)^IF('Additional Input'!$K$45=TRUE,$A191,$A191-('Additional Input'!$F$45-'Additional Input'!$N$9)),1)),0)))+Adjustments!D191)</f>
        <v/>
      </c>
      <c r="R191" s="571" t="str">
        <f ca="1">IF(A191&gt;'Additional Input'!$E$11,"",-((N191+Q191)*'Additional Input'!$D$12)+Adjustments!E191)</f>
        <v/>
      </c>
      <c r="S191" s="571" t="str">
        <f ca="1">IF(A191&gt;'Additional Input'!$E$11,"",IF($A191&gt;='Additional Input'!$D$19,-'Additional Input'!$D$18*(1+IF('Additional Input'!$F$18=TRUE,'Additional Input'!$D$13,0))^Projections!A191,0)-TaxTables!D83+Adjustments!F191)</f>
        <v/>
      </c>
      <c r="T191" s="126" t="str">
        <f ca="1">IF(A191&gt;'Additional Input'!$E$11,"",N191+Q191+R191+S191)</f>
        <v/>
      </c>
    </row>
    <row r="192" spans="1:20" hidden="1">
      <c r="A192" s="118">
        <f t="shared" si="6"/>
        <v>53</v>
      </c>
      <c r="B192" s="110" t="str">
        <f ca="1">IF(A192&gt;'Additional Input'!$E$11,"",IF('Additional Input'!$N$9="","",'Additional Input'!$N$9+Projections!A192)&amp;"/"&amp;IF('Additional Input'!$O$9="","",IF('Additional Input'!$O$9=0,"",'Additional Input'!$O$9+Projections!A192)))</f>
        <v/>
      </c>
      <c r="C192" s="122" t="str">
        <f ca="1">IF(A192&gt;'Additional Input'!$E$11,"",+C191+1)</f>
        <v/>
      </c>
      <c r="D192" s="159" t="str">
        <f ca="1">IF(A192&gt;'Additional Input'!$E$11,"",($D191*(1+'Additional Input'!$F$26))+$N191+$Q191+$R191+$S191)</f>
        <v/>
      </c>
      <c r="E192" s="159" t="str">
        <f ca="1">IF(A192&gt;'Additional Input'!$E$11,"",E191*(1+'Additional Input'!$F$28))</f>
        <v/>
      </c>
      <c r="F192" s="159" t="str">
        <f ca="1">IF(A192&gt;'Additional Input'!$E$11,"",($F191*(1+'Additional Input'!$F$27))-$Q191+IF(('Additional Input'!$K$40)&gt;A191,'Additional Input'!$D$40*(1+IF('Additional Input'!$H$40=TRUE,'Additional Input'!$D$13,0))^A191,0)+IF(('Additional Input'!$K$40)&gt;A191,'Additional Input'!$F$40*(1+IF('Additional Input'!$H$40=TRUE,'Additional Input'!$D$13,0))^A191,0))</f>
        <v/>
      </c>
      <c r="G192" s="646" t="str">
        <f ca="1">IF(A192&gt;'Additional Input'!$E$11,"",-VLOOKUP(A192*12,Amortization,2))</f>
        <v/>
      </c>
      <c r="H192" s="159" t="str">
        <f ca="1">IF(A192&gt;'Additional Input'!$E$11,"",IF(A192&lt;=Calculator!$F$7,Calculator!$D$7,0)+Calculator!$D$8)</f>
        <v/>
      </c>
      <c r="I192" s="159" t="str">
        <f ca="1">IF(A192&gt;'Additional Input'!$E$11,"",D192+E192+F192+G192+H192)</f>
        <v/>
      </c>
      <c r="J192" s="646" t="str">
        <f ca="1">IF(A192&gt;'Additional Input'!$E$11,"",0)</f>
        <v/>
      </c>
      <c r="K192" s="159" t="str">
        <f ca="1">IF(A192&gt;'Additional Input'!$E$11,"",0)</f>
        <v/>
      </c>
      <c r="L192" s="159" t="str">
        <f ca="1">IF(A192&gt;'Additional Input'!$E$11,"",J192+K192)</f>
        <v/>
      </c>
      <c r="M192" s="126" t="str">
        <f ca="1">IF(A192&gt;'Additional Input'!$E$11,"",(D192*'Additional Input'!$F$26)+(E192*'Additional Input'!$F$28)+(F192*'Additional Input'!$F$27))</f>
        <v/>
      </c>
      <c r="N192" s="126" t="str">
        <f ca="1">IF(A192&gt;'Additional Input'!$E$11,"",IF(('Additional Input'!$K$35)&gt;Projections!A192,'Additional Input'!$D$35*(1+IF('Additional Input'!$H$35=TRUE,'Additional Input'!$D$13,0))^Projections!A192,0)+IF(('Additional Input'!$K$36)&gt;Projections!A192,'Additional Input'!$D$36*(1+IF('Additional Input'!$H$36=TRUE,'Additional Input'!$D$13,0))^Projections!A192,0)-IF(('Additional Input'!$K$40)&gt;A192,'Additional Input'!$D$40*(1+IF('Additional Input'!$H$39=TRUE,'Additional Input'!$D$13,0))^A192,0)+IF(('Additional Input'!$F$37-'Additional Input'!$N$9)&lt;=Projections!A192,'Additional Input'!$D$37*(1+IF('Additional Input'!$H$37=TRUE,'Additional Input'!$D$13,0))^IF('Additional Input'!$K$37=TRUE,Projections!A192,Projections!A192-('Additional Input'!$F$37-'Additional Input'!$N$9)),0)+Adjustments!C192)</f>
        <v/>
      </c>
      <c r="O192" s="823" t="str">
        <f ca="1">IF(A192&gt;'Additional Input'!$E$11,"",IF(('Additional Input'!$N$9+Projections!$A192)&gt;=IF('Additional Input'!$K$44=TRUE,71,70),VLOOKUP(('Additional Input'!$N$9+Projections!$A192),UniformTable,2),0))</f>
        <v/>
      </c>
      <c r="P192" s="822" t="str">
        <f ca="1">IF(A192&gt;'Additional Input'!$E$11,"",IF($O192=0,0,$F192/$O192))</f>
        <v/>
      </c>
      <c r="Q192" s="178" t="str">
        <f ca="1">IF(A192&gt;'Additional Input'!$E$11,"",IF(IF('Additional Input'!$D$44=TRUE,IF($O192=0,0,$F192/$O192),IF('Additional Input'!$F$45-'Additional Input'!$N$9&lt;=Projections!$A192,IF($F192*(1+$F$4)&lt;'Additional Input'!$D$45*IF('Additional Input'!$H$45=TRUE,(1+'Additional Input'!$D$13)^IF('Additional Input'!$K$45=TRUE,$A192,$A192-('Additional Input'!$F$45-'Additional Input'!$N$9)),1),$F192*(1+$F$4),'Additional Input'!$D$45*IF('Additional Input'!$H$45=TRUE,(1+'Additional Input'!$D$13)^IF('Additional Input'!$K$45=TRUE,$A192,$A192-('Additional Input'!$F$45-'Additional Input'!$N$9)),1)),0))&lt;$P192,$P192,IF('Additional Input'!$D$44=TRUE,IF($O192=0,0,$F192/$O192),IF('Additional Input'!$F$45-'Additional Input'!$N$9&lt;=Projections!$A192,IF($F192*(1+$F$4)&lt;'Additional Input'!$D$45*IF('Additional Input'!$H$45=TRUE,(1+'Additional Input'!$D$13)^IF('Additional Input'!$K$45=TRUE,$A192,$A192-('Additional Input'!$F$45-'Additional Input'!$N$9)),1),$F192*(1+$F$4),'Additional Input'!$D$45*IF('Additional Input'!$H$45=TRUE,(1+'Additional Input'!$D$13)^IF('Additional Input'!$K$45=TRUE,$A192,$A192-('Additional Input'!$F$45-'Additional Input'!$N$9)),1)),0)))+Adjustments!D192)</f>
        <v/>
      </c>
      <c r="R192" s="571" t="str">
        <f ca="1">IF(A192&gt;'Additional Input'!$E$11,"",-((N192+Q192)*'Additional Input'!$D$12)+Adjustments!E192)</f>
        <v/>
      </c>
      <c r="S192" s="571" t="str">
        <f ca="1">IF(A192&gt;'Additional Input'!$E$11,"",IF($A192&gt;='Additional Input'!$D$19,-'Additional Input'!$D$18*(1+IF('Additional Input'!$F$18=TRUE,'Additional Input'!$D$13,0))^Projections!A192,0)-TaxTables!D84+Adjustments!F192)</f>
        <v/>
      </c>
      <c r="T192" s="126" t="str">
        <f ca="1">IF(A192&gt;'Additional Input'!$E$11,"",N192+Q192+R192+S192)</f>
        <v/>
      </c>
    </row>
    <row r="193" spans="1:20" hidden="1">
      <c r="A193" s="118">
        <f t="shared" si="6"/>
        <v>54</v>
      </c>
      <c r="B193" s="110" t="str">
        <f ca="1">IF(A193&gt;'Additional Input'!$E$11,"",IF('Additional Input'!$N$9="","",'Additional Input'!$N$9+Projections!A193)&amp;"/"&amp;IF('Additional Input'!$O$9="","",IF('Additional Input'!$O$9=0,"",'Additional Input'!$O$9+Projections!A193)))</f>
        <v/>
      </c>
      <c r="C193" s="122" t="str">
        <f ca="1">IF(A193&gt;'Additional Input'!$E$11,"",+C192+1)</f>
        <v/>
      </c>
      <c r="D193" s="159" t="str">
        <f ca="1">IF(A193&gt;'Additional Input'!$E$11,"",($D192*(1+'Additional Input'!$F$26))+$N192+$Q192+$R192+$S192)</f>
        <v/>
      </c>
      <c r="E193" s="159" t="str">
        <f ca="1">IF(A193&gt;'Additional Input'!$E$11,"",E192*(1+'Additional Input'!$F$28))</f>
        <v/>
      </c>
      <c r="F193" s="159" t="str">
        <f ca="1">IF(A193&gt;'Additional Input'!$E$11,"",($F192*(1+'Additional Input'!$F$27))-$Q192+IF(('Additional Input'!$K$40)&gt;A192,'Additional Input'!$D$40*(1+IF('Additional Input'!$H$40=TRUE,'Additional Input'!$D$13,0))^A192,0)+IF(('Additional Input'!$K$40)&gt;A192,'Additional Input'!$F$40*(1+IF('Additional Input'!$H$40=TRUE,'Additional Input'!$D$13,0))^A192,0))</f>
        <v/>
      </c>
      <c r="G193" s="646" t="str">
        <f ca="1">IF(A193&gt;'Additional Input'!$E$11,"",-VLOOKUP(A193*12,Amortization,2))</f>
        <v/>
      </c>
      <c r="H193" s="159" t="str">
        <f ca="1">IF(A193&gt;'Additional Input'!$E$11,"",IF(A193&lt;=Calculator!$F$7,Calculator!$D$7,0)+Calculator!$D$8)</f>
        <v/>
      </c>
      <c r="I193" s="159" t="str">
        <f ca="1">IF(A193&gt;'Additional Input'!$E$11,"",D193+E193+F193+G193+H193)</f>
        <v/>
      </c>
      <c r="J193" s="646" t="str">
        <f ca="1">IF(A193&gt;'Additional Input'!$E$11,"",0)</f>
        <v/>
      </c>
      <c r="K193" s="159" t="str">
        <f ca="1">IF(A193&gt;'Additional Input'!$E$11,"",0)</f>
        <v/>
      </c>
      <c r="L193" s="159" t="str">
        <f ca="1">IF(A193&gt;'Additional Input'!$E$11,"",J193+K193)</f>
        <v/>
      </c>
      <c r="M193" s="126" t="str">
        <f ca="1">IF(A193&gt;'Additional Input'!$E$11,"",(D193*'Additional Input'!$F$26)+(E193*'Additional Input'!$F$28)+(F193*'Additional Input'!$F$27))</f>
        <v/>
      </c>
      <c r="N193" s="126" t="str">
        <f ca="1">IF(A193&gt;'Additional Input'!$E$11,"",IF(('Additional Input'!$K$35)&gt;Projections!A193,'Additional Input'!$D$35*(1+IF('Additional Input'!$H$35=TRUE,'Additional Input'!$D$13,0))^Projections!A193,0)+IF(('Additional Input'!$K$36)&gt;Projections!A193,'Additional Input'!$D$36*(1+IF('Additional Input'!$H$36=TRUE,'Additional Input'!$D$13,0))^Projections!A193,0)-IF(('Additional Input'!$K$40)&gt;A193,'Additional Input'!$D$40*(1+IF('Additional Input'!$H$39=TRUE,'Additional Input'!$D$13,0))^A193,0)+IF(('Additional Input'!$F$37-'Additional Input'!$N$9)&lt;=Projections!A193,'Additional Input'!$D$37*(1+IF('Additional Input'!$H$37=TRUE,'Additional Input'!$D$13,0))^IF('Additional Input'!$K$37=TRUE,Projections!A193,Projections!A193-('Additional Input'!$F$37-'Additional Input'!$N$9)),0)+Adjustments!C193)</f>
        <v/>
      </c>
      <c r="O193" s="823" t="str">
        <f ca="1">IF(A193&gt;'Additional Input'!$E$11,"",IF(('Additional Input'!$N$9+Projections!$A193)&gt;=IF('Additional Input'!$K$44=TRUE,71,70),VLOOKUP(('Additional Input'!$N$9+Projections!$A193),UniformTable,2),0))</f>
        <v/>
      </c>
      <c r="P193" s="822" t="str">
        <f ca="1">IF(A193&gt;'Additional Input'!$E$11,"",IF($O193=0,0,$F193/$O193))</f>
        <v/>
      </c>
      <c r="Q193" s="178" t="str">
        <f ca="1">IF(A193&gt;'Additional Input'!$E$11,"",IF(IF('Additional Input'!$D$44=TRUE,IF($O193=0,0,$F193/$O193),IF('Additional Input'!$F$45-'Additional Input'!$N$9&lt;=Projections!$A193,IF($F193*(1+$F$4)&lt;'Additional Input'!$D$45*IF('Additional Input'!$H$45=TRUE,(1+'Additional Input'!$D$13)^IF('Additional Input'!$K$45=TRUE,$A193,$A193-('Additional Input'!$F$45-'Additional Input'!$N$9)),1),$F193*(1+$F$4),'Additional Input'!$D$45*IF('Additional Input'!$H$45=TRUE,(1+'Additional Input'!$D$13)^IF('Additional Input'!$K$45=TRUE,$A193,$A193-('Additional Input'!$F$45-'Additional Input'!$N$9)),1)),0))&lt;$P193,$P193,IF('Additional Input'!$D$44=TRUE,IF($O193=0,0,$F193/$O193),IF('Additional Input'!$F$45-'Additional Input'!$N$9&lt;=Projections!$A193,IF($F193*(1+$F$4)&lt;'Additional Input'!$D$45*IF('Additional Input'!$H$45=TRUE,(1+'Additional Input'!$D$13)^IF('Additional Input'!$K$45=TRUE,$A193,$A193-('Additional Input'!$F$45-'Additional Input'!$N$9)),1),$F193*(1+$F$4),'Additional Input'!$D$45*IF('Additional Input'!$H$45=TRUE,(1+'Additional Input'!$D$13)^IF('Additional Input'!$K$45=TRUE,$A193,$A193-('Additional Input'!$F$45-'Additional Input'!$N$9)),1)),0)))+Adjustments!D193)</f>
        <v/>
      </c>
      <c r="R193" s="571" t="str">
        <f ca="1">IF(A193&gt;'Additional Input'!$E$11,"",-((N193+Q193)*'Additional Input'!$D$12)+Adjustments!E193)</f>
        <v/>
      </c>
      <c r="S193" s="571" t="str">
        <f ca="1">IF(A193&gt;'Additional Input'!$E$11,"",IF($A193&gt;='Additional Input'!$D$19,-'Additional Input'!$D$18*(1+IF('Additional Input'!$F$18=TRUE,'Additional Input'!$D$13,0))^Projections!A193,0)-TaxTables!D85+Adjustments!F193)</f>
        <v/>
      </c>
      <c r="T193" s="126" t="str">
        <f ca="1">IF(A193&gt;'Additional Input'!$E$11,"",N193+Q193+R193+S193)</f>
        <v/>
      </c>
    </row>
    <row r="194" spans="1:20">
      <c r="A194" s="650">
        <f t="shared" si="6"/>
        <v>55</v>
      </c>
      <c r="B194" s="651" t="str">
        <f ca="1">IF(A194&gt;'Additional Input'!$E$11,"",IF('Additional Input'!$N$9="","",'Additional Input'!$N$9+Projections!A194)&amp;"/"&amp;IF('Additional Input'!$O$9="","",IF('Additional Input'!$O$9=0,"",'Additional Input'!$O$9+Projections!A194)))</f>
        <v/>
      </c>
      <c r="C194" s="650" t="str">
        <f ca="1">IF(A194&gt;'Additional Input'!$E$11,"",+C193+1)</f>
        <v/>
      </c>
      <c r="D194" s="721" t="str">
        <f ca="1">IF(A194&gt;'Additional Input'!$E$11,"",($D193*(1+'Additional Input'!$F$26))+$N193+$Q193+$R193+$S193)</f>
        <v/>
      </c>
      <c r="E194" s="653" t="str">
        <f ca="1">IF(A194&gt;'Additional Input'!$E$11,"",E193*(1+'Additional Input'!$F$28))</f>
        <v/>
      </c>
      <c r="F194" s="653" t="str">
        <f ca="1">IF(A194&gt;'Additional Input'!$E$11,"",($F193*(1+'Additional Input'!$F$27))-$Q193+IF(('Additional Input'!$K$40)&gt;A193,'Additional Input'!$D$40*(1+IF('Additional Input'!$H$40=TRUE,'Additional Input'!$D$13,0))^A193,0)+IF(('Additional Input'!$K$40)&gt;A193,'Additional Input'!$F$40*(1+IF('Additional Input'!$H$40=TRUE,'Additional Input'!$D$13,0))^A193,0))</f>
        <v/>
      </c>
      <c r="G194" s="853" t="str">
        <f ca="1">IF(A194&gt;'Additional Input'!$E$11,"",-VLOOKUP(A194*12,Amortization,2))</f>
        <v/>
      </c>
      <c r="H194" s="721" t="str">
        <f ca="1">IF(A194&gt;'Additional Input'!$E$11,"",IF(A194&lt;=Calculator!$F$7,Calculator!$D$7,0)+Calculator!$D$8)</f>
        <v/>
      </c>
      <c r="I194" s="652" t="str">
        <f ca="1">IF(A194&gt;'Additional Input'!$E$11,"",D194+E194+F194+G194+H194)</f>
        <v/>
      </c>
      <c r="J194" s="720" t="str">
        <f ca="1">IF(A194&gt;'Additional Input'!$E$11,"",0)</f>
        <v/>
      </c>
      <c r="K194" s="721" t="str">
        <f ca="1">IF(A194&gt;'Additional Input'!$E$11,"",0)</f>
        <v/>
      </c>
      <c r="L194" s="652" t="str">
        <f ca="1">IF(A194&gt;'Additional Input'!$E$11,"",J194+K194)</f>
        <v/>
      </c>
      <c r="M194" s="654" t="str">
        <f ca="1">IF(A194&gt;'Additional Input'!$E$11,"",(D194*'Additional Input'!$F$26)+(E194*'Additional Input'!$F$28)+(F194*'Additional Input'!$F$27))</f>
        <v/>
      </c>
      <c r="N194" s="655" t="str">
        <f ca="1">IF(A194&gt;'Additional Input'!$E$11,"",IF(('Additional Input'!$K$35)&gt;Projections!A194,'Additional Input'!$D$35*(1+IF('Additional Input'!$H$35=TRUE,'Additional Input'!$D$13,0))^Projections!A194,0)+IF(('Additional Input'!$K$36)&gt;Projections!A194,'Additional Input'!$D$36*(1+IF('Additional Input'!$H$36=TRUE,'Additional Input'!$D$13,0))^Projections!A194,0)-IF(('Additional Input'!$K$40)&gt;A194,'Additional Input'!$D$40*(1+IF('Additional Input'!$H$39=TRUE,'Additional Input'!$D$13,0))^A194,0)+IF(('Additional Input'!$F$37-'Additional Input'!$N$9)&lt;=Projections!A194,'Additional Input'!$D$37*(1+IF('Additional Input'!$H$37=TRUE,'Additional Input'!$D$13,0))^IF('Additional Input'!$K$37=TRUE,Projections!A194,Projections!A194-('Additional Input'!$F$37-'Additional Input'!$N$9)),0)+Adjustments!C194)</f>
        <v/>
      </c>
      <c r="O194" s="824" t="str">
        <f ca="1">IF(A194&gt;'Additional Input'!$E$11,"",IF(('Additional Input'!$N$9+Projections!$A194)&gt;=IF('Additional Input'!$K$44=TRUE,71,70),VLOOKUP(('Additional Input'!$N$9+Projections!$A194),UniformTable,2),0))</f>
        <v/>
      </c>
      <c r="P194" s="825" t="str">
        <f ca="1">IF(A194&gt;'Additional Input'!$E$11,"",IF($O194=0,0,$F194/$O194))</f>
        <v/>
      </c>
      <c r="Q194" s="655" t="str">
        <f ca="1">IF(A194&gt;'Additional Input'!$E$11,"",IF(IF('Additional Input'!$D$44=TRUE,IF($O194=0,0,$F194/$O194),IF('Additional Input'!$F$45-'Additional Input'!$N$9&lt;=Projections!$A194,IF($F194*(1+$F$4)&lt;'Additional Input'!$D$45*IF('Additional Input'!$H$45=TRUE,(1+'Additional Input'!$D$13)^IF('Additional Input'!$K$45=TRUE,$A194,$A194-('Additional Input'!$F$45-'Additional Input'!$N$9)),1),$F194*(1+$F$4),'Additional Input'!$D$45*IF('Additional Input'!$H$45=TRUE,(1+'Additional Input'!$D$13)^IF('Additional Input'!$K$45=TRUE,$A194,$A194-('Additional Input'!$F$45-'Additional Input'!$N$9)),1)),0))&lt;$P194,$P194,IF('Additional Input'!$D$44=TRUE,IF($O194=0,0,$F194/$O194),IF('Additional Input'!$F$45-'Additional Input'!$N$9&lt;=Projections!$A194,IF($F194*(1+$F$4)&lt;'Additional Input'!$D$45*IF('Additional Input'!$H$45=TRUE,(1+'Additional Input'!$D$13)^IF('Additional Input'!$K$45=TRUE,$A194,$A194-('Additional Input'!$F$45-'Additional Input'!$N$9)),1),$F194*(1+$F$4),'Additional Input'!$D$45*IF('Additional Input'!$H$45=TRUE,(1+'Additional Input'!$D$13)^IF('Additional Input'!$K$45=TRUE,$A194,$A194-('Additional Input'!$F$45-'Additional Input'!$N$9)),1)),0)))+Adjustments!D194)</f>
        <v/>
      </c>
      <c r="R194" s="656" t="str">
        <f ca="1">IF(A194&gt;'Additional Input'!$E$11,"",-((N194+Q194)*'Additional Input'!$D$12)+Adjustments!E194)</f>
        <v/>
      </c>
      <c r="S194" s="656" t="str">
        <f ca="1">IF(A194&gt;'Additional Input'!$E$11,"",IF($A194&gt;='Additional Input'!$D$19,-'Additional Input'!$D$18*(1+IF('Additional Input'!$F$18=TRUE,'Additional Input'!$D$13,0))^Projections!A194,0)-TaxTables!D86+Adjustments!F194)</f>
        <v/>
      </c>
      <c r="T194" s="654" t="str">
        <f ca="1">IF(A194&gt;'Additional Input'!$E$11,"",N194+Q194+R194+S194)</f>
        <v/>
      </c>
    </row>
    <row r="195" spans="1:20" hidden="1">
      <c r="A195" s="118">
        <f t="shared" si="6"/>
        <v>56</v>
      </c>
      <c r="B195" s="110" t="str">
        <f ca="1">IF(A195&gt;'Additional Input'!$E$11,"",IF('Additional Input'!$N$9="","",'Additional Input'!$N$9+Projections!A195)&amp;"/"&amp;IF('Additional Input'!$O$9="","",IF('Additional Input'!$O$9=0,"",'Additional Input'!$O$9+Projections!A195)))</f>
        <v/>
      </c>
      <c r="C195" s="122" t="str">
        <f ca="1">IF(A195&gt;'Additional Input'!$E$11,"",+C194+1)</f>
        <v/>
      </c>
      <c r="D195" s="159" t="str">
        <f ca="1">IF(A195&gt;'Additional Input'!$E$11,"",($D194*(1+'Additional Input'!$F$26))+$N194+$Q194+$R194+$S194)</f>
        <v/>
      </c>
      <c r="E195" s="159" t="str">
        <f ca="1">IF(A195&gt;'Additional Input'!$E$11,"",E194*(1+'Additional Input'!$F$28))</f>
        <v/>
      </c>
      <c r="F195" s="159" t="str">
        <f ca="1">IF(A195&gt;'Additional Input'!$E$11,"",($F194*(1+'Additional Input'!$F$27))-$Q194+IF(('Additional Input'!$K$40)&gt;A194,'Additional Input'!$D$40*(1+IF('Additional Input'!$H$40=TRUE,'Additional Input'!$D$13,0))^A194,0)+IF(('Additional Input'!$K$40)&gt;A194,'Additional Input'!$F$40*(1+IF('Additional Input'!$H$40=TRUE,'Additional Input'!$D$13,0))^A194,0))</f>
        <v/>
      </c>
      <c r="G195" s="646" t="str">
        <f ca="1">IF(A195&gt;'Additional Input'!$E$11,"",-VLOOKUP(A195*12,Amortization,2))</f>
        <v/>
      </c>
      <c r="H195" s="159" t="str">
        <f ca="1">IF(A195&gt;'Additional Input'!$E$11,"",IF(A195&lt;=Calculator!$F$7,Calculator!$D$7,0)+Calculator!$D$8)</f>
        <v/>
      </c>
      <c r="I195" s="159" t="str">
        <f ca="1">IF(A195&gt;'Additional Input'!$E$11,"",D195+E195+F195+G195+H195)</f>
        <v/>
      </c>
      <c r="J195" s="646" t="str">
        <f ca="1">IF(A195&gt;'Additional Input'!$E$11,"",0)</f>
        <v/>
      </c>
      <c r="K195" s="159" t="str">
        <f ca="1">IF(A195&gt;'Additional Input'!$E$11,"",0)</f>
        <v/>
      </c>
      <c r="L195" s="159" t="str">
        <f ca="1">IF(A195&gt;'Additional Input'!$E$11,"",J195+K195)</f>
        <v/>
      </c>
      <c r="M195" s="126" t="str">
        <f ca="1">IF(A195&gt;'Additional Input'!$E$11,"",(D195*'Additional Input'!$F$26)+(E195*'Additional Input'!$F$28)+(F195*'Additional Input'!$F$27))</f>
        <v/>
      </c>
      <c r="N195" s="126" t="str">
        <f ca="1">IF(A195&gt;'Additional Input'!$E$11,"",IF(('Additional Input'!$K$35)&gt;Projections!A195,'Additional Input'!$D$35*(1+IF('Additional Input'!$H$35=TRUE,'Additional Input'!$D$13,0))^Projections!A195,0)+IF(('Additional Input'!$K$36)&gt;Projections!A195,'Additional Input'!$D$36*(1+IF('Additional Input'!$H$36=TRUE,'Additional Input'!$D$13,0))^Projections!A195,0)-IF(('Additional Input'!$K$40)&gt;A195,'Additional Input'!$D$40*(1+IF('Additional Input'!$H$39=TRUE,'Additional Input'!$D$13,0))^A195,0)+IF(('Additional Input'!$F$37-'Additional Input'!$N$9)&lt;=Projections!A195,'Additional Input'!$D$37*(1+IF('Additional Input'!$H$37=TRUE,'Additional Input'!$D$13,0))^IF('Additional Input'!$K$37=TRUE,Projections!A195,Projections!A195-('Additional Input'!$F$37-'Additional Input'!$N$9)),0)+Adjustments!C195)</f>
        <v/>
      </c>
      <c r="O195" s="823" t="str">
        <f ca="1">IF(A195&gt;'Additional Input'!$E$11,"",IF(('Additional Input'!$N$9+Projections!$A195)&gt;=IF('Additional Input'!$K$44=TRUE,71,70),VLOOKUP(('Additional Input'!$N$9+Projections!$A195),UniformTable,2),0))</f>
        <v/>
      </c>
      <c r="P195" s="822" t="str">
        <f ca="1">IF(A195&gt;'Additional Input'!$E$11,"",IF($O195=0,0,$F195/$O195))</f>
        <v/>
      </c>
      <c r="Q195" s="178" t="str">
        <f ca="1">IF(A195&gt;'Additional Input'!$E$11,"",IF(IF('Additional Input'!$D$44=TRUE,IF($O195=0,0,$F195/$O195),IF('Additional Input'!$F$45-'Additional Input'!$N$9&lt;=Projections!$A195,IF($F195*(1+$F$4)&lt;'Additional Input'!$D$45*IF('Additional Input'!$H$45=TRUE,(1+'Additional Input'!$D$13)^IF('Additional Input'!$K$45=TRUE,$A195,$A195-('Additional Input'!$F$45-'Additional Input'!$N$9)),1),$F195*(1+$F$4),'Additional Input'!$D$45*IF('Additional Input'!$H$45=TRUE,(1+'Additional Input'!$D$13)^IF('Additional Input'!$K$45=TRUE,$A195,$A195-('Additional Input'!$F$45-'Additional Input'!$N$9)),1)),0))&lt;$P195,$P195,IF('Additional Input'!$D$44=TRUE,IF($O195=0,0,$F195/$O195),IF('Additional Input'!$F$45-'Additional Input'!$N$9&lt;=Projections!$A195,IF($F195*(1+$F$4)&lt;'Additional Input'!$D$45*IF('Additional Input'!$H$45=TRUE,(1+'Additional Input'!$D$13)^IF('Additional Input'!$K$45=TRUE,$A195,$A195-('Additional Input'!$F$45-'Additional Input'!$N$9)),1),$F195*(1+$F$4),'Additional Input'!$D$45*IF('Additional Input'!$H$45=TRUE,(1+'Additional Input'!$D$13)^IF('Additional Input'!$K$45=TRUE,$A195,$A195-('Additional Input'!$F$45-'Additional Input'!$N$9)),1)),0)))+Adjustments!D195)</f>
        <v/>
      </c>
      <c r="R195" s="571" t="str">
        <f ca="1">IF(A195&gt;'Additional Input'!$E$11,"",-((N195+Q195)*'Additional Input'!$D$12)+Adjustments!E195)</f>
        <v/>
      </c>
      <c r="S195" s="571" t="str">
        <f ca="1">IF(A195&gt;'Additional Input'!$E$11,"",IF($A195&gt;='Additional Input'!$D$19,-'Additional Input'!$D$18*(1+IF('Additional Input'!$F$18=TRUE,'Additional Input'!$D$13,0))^Projections!A195,0)-TaxTables!D87+Adjustments!F195)</f>
        <v/>
      </c>
      <c r="T195" s="126" t="str">
        <f ca="1">IF(A195&gt;'Additional Input'!$E$11,"",N195+Q195+R195+S195)</f>
        <v/>
      </c>
    </row>
    <row r="196" spans="1:20" hidden="1">
      <c r="A196" s="118">
        <f t="shared" si="6"/>
        <v>57</v>
      </c>
      <c r="B196" s="110" t="str">
        <f ca="1">IF(A196&gt;'Additional Input'!$E$11,"",IF('Additional Input'!$N$9="","",'Additional Input'!$N$9+Projections!A196)&amp;"/"&amp;IF('Additional Input'!$O$9="","",IF('Additional Input'!$O$9=0,"",'Additional Input'!$O$9+Projections!A196)))</f>
        <v/>
      </c>
      <c r="C196" s="122" t="str">
        <f ca="1">IF(A196&gt;'Additional Input'!$E$11,"",+C195+1)</f>
        <v/>
      </c>
      <c r="D196" s="159" t="str">
        <f ca="1">IF(A196&gt;'Additional Input'!$E$11,"",($D195*(1+'Additional Input'!$F$26))+$N195+$Q195+$R195+$S195)</f>
        <v/>
      </c>
      <c r="E196" s="159" t="str">
        <f ca="1">IF(A196&gt;'Additional Input'!$E$11,"",E195*(1+'Additional Input'!$F$28))</f>
        <v/>
      </c>
      <c r="F196" s="159" t="str">
        <f ca="1">IF(A196&gt;'Additional Input'!$E$11,"",($F195*(1+'Additional Input'!$F$27))-$Q195+IF(('Additional Input'!$K$40)&gt;A195,'Additional Input'!$D$40*(1+IF('Additional Input'!$H$40=TRUE,'Additional Input'!$D$13,0))^A195,0)+IF(('Additional Input'!$K$40)&gt;A195,'Additional Input'!$F$40*(1+IF('Additional Input'!$H$40=TRUE,'Additional Input'!$D$13,0))^A195,0))</f>
        <v/>
      </c>
      <c r="G196" s="646" t="str">
        <f ca="1">IF(A196&gt;'Additional Input'!$E$11,"",-VLOOKUP(A196*12,Amortization,2))</f>
        <v/>
      </c>
      <c r="H196" s="159" t="str">
        <f ca="1">IF(A196&gt;'Additional Input'!$E$11,"",IF(A196&lt;=Calculator!$F$7,Calculator!$D$7,0)+Calculator!$D$8)</f>
        <v/>
      </c>
      <c r="I196" s="159" t="str">
        <f ca="1">IF(A196&gt;'Additional Input'!$E$11,"",D196+E196+F196+G196+H196)</f>
        <v/>
      </c>
      <c r="J196" s="646" t="str">
        <f ca="1">IF(A196&gt;'Additional Input'!$E$11,"",0)</f>
        <v/>
      </c>
      <c r="K196" s="159" t="str">
        <f ca="1">IF(A196&gt;'Additional Input'!$E$11,"",0)</f>
        <v/>
      </c>
      <c r="L196" s="159" t="str">
        <f ca="1">IF(A196&gt;'Additional Input'!$E$11,"",J196+K196)</f>
        <v/>
      </c>
      <c r="M196" s="126" t="str">
        <f ca="1">IF(A196&gt;'Additional Input'!$E$11,"",(D196*'Additional Input'!$F$26)+(E196*'Additional Input'!$F$28)+(F196*'Additional Input'!$F$27))</f>
        <v/>
      </c>
      <c r="N196" s="126" t="str">
        <f ca="1">IF(A196&gt;'Additional Input'!$E$11,"",IF(('Additional Input'!$K$35)&gt;Projections!A196,'Additional Input'!$D$35*(1+IF('Additional Input'!$H$35=TRUE,'Additional Input'!$D$13,0))^Projections!A196,0)+IF(('Additional Input'!$K$36)&gt;Projections!A196,'Additional Input'!$D$36*(1+IF('Additional Input'!$H$36=TRUE,'Additional Input'!$D$13,0))^Projections!A196,0)-IF(('Additional Input'!$K$40)&gt;A196,'Additional Input'!$D$40*(1+IF('Additional Input'!$H$39=TRUE,'Additional Input'!$D$13,0))^A196,0)+IF(('Additional Input'!$F$37-'Additional Input'!$N$9)&lt;=Projections!A196,'Additional Input'!$D$37*(1+IF('Additional Input'!$H$37=TRUE,'Additional Input'!$D$13,0))^IF('Additional Input'!$K$37=TRUE,Projections!A196,Projections!A196-('Additional Input'!$F$37-'Additional Input'!$N$9)),0)+Adjustments!C196)</f>
        <v/>
      </c>
      <c r="O196" s="823" t="str">
        <f ca="1">IF(A196&gt;'Additional Input'!$E$11,"",IF(('Additional Input'!$N$9+Projections!$A196)&gt;=IF('Additional Input'!$K$44=TRUE,71,70),VLOOKUP(('Additional Input'!$N$9+Projections!$A196),UniformTable,2),0))</f>
        <v/>
      </c>
      <c r="P196" s="822" t="str">
        <f ca="1">IF(A196&gt;'Additional Input'!$E$11,"",IF($O196=0,0,$F196/$O196))</f>
        <v/>
      </c>
      <c r="Q196" s="178" t="str">
        <f ca="1">IF(A196&gt;'Additional Input'!$E$11,"",IF(IF('Additional Input'!$D$44=TRUE,IF($O196=0,0,$F196/$O196),IF('Additional Input'!$F$45-'Additional Input'!$N$9&lt;=Projections!$A196,IF($F196*(1+$F$4)&lt;'Additional Input'!$D$45*IF('Additional Input'!$H$45=TRUE,(1+'Additional Input'!$D$13)^IF('Additional Input'!$K$45=TRUE,$A196,$A196-('Additional Input'!$F$45-'Additional Input'!$N$9)),1),$F196*(1+$F$4),'Additional Input'!$D$45*IF('Additional Input'!$H$45=TRUE,(1+'Additional Input'!$D$13)^IF('Additional Input'!$K$45=TRUE,$A196,$A196-('Additional Input'!$F$45-'Additional Input'!$N$9)),1)),0))&lt;$P196,$P196,IF('Additional Input'!$D$44=TRUE,IF($O196=0,0,$F196/$O196),IF('Additional Input'!$F$45-'Additional Input'!$N$9&lt;=Projections!$A196,IF($F196*(1+$F$4)&lt;'Additional Input'!$D$45*IF('Additional Input'!$H$45=TRUE,(1+'Additional Input'!$D$13)^IF('Additional Input'!$K$45=TRUE,$A196,$A196-('Additional Input'!$F$45-'Additional Input'!$N$9)),1),$F196*(1+$F$4),'Additional Input'!$D$45*IF('Additional Input'!$H$45=TRUE,(1+'Additional Input'!$D$13)^IF('Additional Input'!$K$45=TRUE,$A196,$A196-('Additional Input'!$F$45-'Additional Input'!$N$9)),1)),0)))+Adjustments!D196)</f>
        <v/>
      </c>
      <c r="R196" s="571" t="str">
        <f ca="1">IF(A196&gt;'Additional Input'!$E$11,"",-((N196+Q196)*'Additional Input'!$D$12)+Adjustments!E196)</f>
        <v/>
      </c>
      <c r="S196" s="571" t="str">
        <f ca="1">IF(A196&gt;'Additional Input'!$E$11,"",IF($A196&gt;='Additional Input'!$D$19,-'Additional Input'!$D$18*(1+IF('Additional Input'!$F$18=TRUE,'Additional Input'!$D$13,0))^Projections!A196,0)-TaxTables!D88+Adjustments!F196)</f>
        <v/>
      </c>
      <c r="T196" s="126" t="str">
        <f ca="1">IF(A196&gt;'Additional Input'!$E$11,"",N196+Q196+R196+S196)</f>
        <v/>
      </c>
    </row>
    <row r="197" spans="1:20" hidden="1">
      <c r="A197" s="118">
        <f t="shared" si="6"/>
        <v>58</v>
      </c>
      <c r="B197" s="110" t="str">
        <f ca="1">IF(A197&gt;'Additional Input'!$E$11,"",IF('Additional Input'!$N$9="","",'Additional Input'!$N$9+Projections!A197)&amp;"/"&amp;IF('Additional Input'!$O$9="","",IF('Additional Input'!$O$9=0,"",'Additional Input'!$O$9+Projections!A197)))</f>
        <v/>
      </c>
      <c r="C197" s="122" t="str">
        <f ca="1">IF(A197&gt;'Additional Input'!$E$11,"",+C196+1)</f>
        <v/>
      </c>
      <c r="D197" s="159" t="str">
        <f ca="1">IF(A197&gt;'Additional Input'!$E$11,"",($D196*(1+'Additional Input'!$F$26))+$N196+$Q196+$R196+$S196)</f>
        <v/>
      </c>
      <c r="E197" s="159" t="str">
        <f ca="1">IF(A197&gt;'Additional Input'!$E$11,"",E196*(1+'Additional Input'!$F$28))</f>
        <v/>
      </c>
      <c r="F197" s="159" t="str">
        <f ca="1">IF(A197&gt;'Additional Input'!$E$11,"",($F196*(1+'Additional Input'!$F$27))-$Q196+IF(('Additional Input'!$K$40)&gt;A196,'Additional Input'!$D$40*(1+IF('Additional Input'!$H$40=TRUE,'Additional Input'!$D$13,0))^A196,0)+IF(('Additional Input'!$K$40)&gt;A196,'Additional Input'!$F$40*(1+IF('Additional Input'!$H$40=TRUE,'Additional Input'!$D$13,0))^A196,0))</f>
        <v/>
      </c>
      <c r="G197" s="646" t="str">
        <f ca="1">IF(A197&gt;'Additional Input'!$E$11,"",-VLOOKUP(A197*12,Amortization,2))</f>
        <v/>
      </c>
      <c r="H197" s="159" t="str">
        <f ca="1">IF(A197&gt;'Additional Input'!$E$11,"",IF(A197&lt;=Calculator!$F$7,Calculator!$D$7,0)+Calculator!$D$8)</f>
        <v/>
      </c>
      <c r="I197" s="159" t="str">
        <f ca="1">IF(A197&gt;'Additional Input'!$E$11,"",D197+E197+F197+G197+H197)</f>
        <v/>
      </c>
      <c r="J197" s="646" t="str">
        <f ca="1">IF(A197&gt;'Additional Input'!$E$11,"",0)</f>
        <v/>
      </c>
      <c r="K197" s="159" t="str">
        <f ca="1">IF(A197&gt;'Additional Input'!$E$11,"",0)</f>
        <v/>
      </c>
      <c r="L197" s="159" t="str">
        <f ca="1">IF(A197&gt;'Additional Input'!$E$11,"",J197+K197)</f>
        <v/>
      </c>
      <c r="M197" s="126" t="str">
        <f ca="1">IF(A197&gt;'Additional Input'!$E$11,"",(D197*'Additional Input'!$F$26)+(E197*'Additional Input'!$F$28)+(F197*'Additional Input'!$F$27))</f>
        <v/>
      </c>
      <c r="N197" s="126" t="str">
        <f ca="1">IF(A197&gt;'Additional Input'!$E$11,"",IF(('Additional Input'!$K$35)&gt;Projections!A197,'Additional Input'!$D$35*(1+IF('Additional Input'!$H$35=TRUE,'Additional Input'!$D$13,0))^Projections!A197,0)+IF(('Additional Input'!$K$36)&gt;Projections!A197,'Additional Input'!$D$36*(1+IF('Additional Input'!$H$36=TRUE,'Additional Input'!$D$13,0))^Projections!A197,0)-IF(('Additional Input'!$K$40)&gt;A197,'Additional Input'!$D$40*(1+IF('Additional Input'!$H$39=TRUE,'Additional Input'!$D$13,0))^A197,0)+IF(('Additional Input'!$F$37-'Additional Input'!$N$9)&lt;=Projections!A197,'Additional Input'!$D$37*(1+IF('Additional Input'!$H$37=TRUE,'Additional Input'!$D$13,0))^IF('Additional Input'!$K$37=TRUE,Projections!A197,Projections!A197-('Additional Input'!$F$37-'Additional Input'!$N$9)),0)+Adjustments!C197)</f>
        <v/>
      </c>
      <c r="O197" s="823" t="str">
        <f ca="1">IF(A197&gt;'Additional Input'!$E$11,"",IF(('Additional Input'!$N$9+Projections!$A197)&gt;=IF('Additional Input'!$K$44=TRUE,71,70),VLOOKUP(('Additional Input'!$N$9+Projections!$A197),UniformTable,2),0))</f>
        <v/>
      </c>
      <c r="P197" s="822" t="str">
        <f ca="1">IF(A197&gt;'Additional Input'!$E$11,"",IF($O197=0,0,$F197/$O197))</f>
        <v/>
      </c>
      <c r="Q197" s="178" t="str">
        <f ca="1">IF(A197&gt;'Additional Input'!$E$11,"",IF(IF('Additional Input'!$D$44=TRUE,IF($O197=0,0,$F197/$O197),IF('Additional Input'!$F$45-'Additional Input'!$N$9&lt;=Projections!$A197,IF($F197*(1+$F$4)&lt;'Additional Input'!$D$45*IF('Additional Input'!$H$45=TRUE,(1+'Additional Input'!$D$13)^IF('Additional Input'!$K$45=TRUE,$A197,$A197-('Additional Input'!$F$45-'Additional Input'!$N$9)),1),$F197*(1+$F$4),'Additional Input'!$D$45*IF('Additional Input'!$H$45=TRUE,(1+'Additional Input'!$D$13)^IF('Additional Input'!$K$45=TRUE,$A197,$A197-('Additional Input'!$F$45-'Additional Input'!$N$9)),1)),0))&lt;$P197,$P197,IF('Additional Input'!$D$44=TRUE,IF($O197=0,0,$F197/$O197),IF('Additional Input'!$F$45-'Additional Input'!$N$9&lt;=Projections!$A197,IF($F197*(1+$F$4)&lt;'Additional Input'!$D$45*IF('Additional Input'!$H$45=TRUE,(1+'Additional Input'!$D$13)^IF('Additional Input'!$K$45=TRUE,$A197,$A197-('Additional Input'!$F$45-'Additional Input'!$N$9)),1),$F197*(1+$F$4),'Additional Input'!$D$45*IF('Additional Input'!$H$45=TRUE,(1+'Additional Input'!$D$13)^IF('Additional Input'!$K$45=TRUE,$A197,$A197-('Additional Input'!$F$45-'Additional Input'!$N$9)),1)),0)))+Adjustments!D197)</f>
        <v/>
      </c>
      <c r="R197" s="571" t="str">
        <f ca="1">IF(A197&gt;'Additional Input'!$E$11,"",-((N197+Q197)*'Additional Input'!$D$12)+Adjustments!E197)</f>
        <v/>
      </c>
      <c r="S197" s="571" t="str">
        <f ca="1">IF(A197&gt;'Additional Input'!$E$11,"",IF($A197&gt;='Additional Input'!$D$19,-'Additional Input'!$D$18*(1+IF('Additional Input'!$F$18=TRUE,'Additional Input'!$D$13,0))^Projections!A197,0)-TaxTables!D89+Adjustments!F197)</f>
        <v/>
      </c>
      <c r="T197" s="126" t="str">
        <f ca="1">IF(A197&gt;'Additional Input'!$E$11,"",N197+Q197+R197+S197)</f>
        <v/>
      </c>
    </row>
    <row r="198" spans="1:20" hidden="1">
      <c r="A198" s="118">
        <f t="shared" si="6"/>
        <v>59</v>
      </c>
      <c r="B198" s="110" t="str">
        <f ca="1">IF(A198&gt;'Additional Input'!$E$11,"",IF('Additional Input'!$N$9="","",'Additional Input'!$N$9+Projections!A198)&amp;"/"&amp;IF('Additional Input'!$O$9="","",IF('Additional Input'!$O$9=0,"",'Additional Input'!$O$9+Projections!A198)))</f>
        <v/>
      </c>
      <c r="C198" s="122" t="str">
        <f ca="1">IF(A198&gt;'Additional Input'!$E$11,"",+C197+1)</f>
        <v/>
      </c>
      <c r="D198" s="159" t="str">
        <f ca="1">IF(A198&gt;'Additional Input'!$E$11,"",($D197*(1+'Additional Input'!$F$26))+$N197+$Q197+$R197+$S197)</f>
        <v/>
      </c>
      <c r="E198" s="159" t="str">
        <f ca="1">IF(A198&gt;'Additional Input'!$E$11,"",E197*(1+'Additional Input'!$F$28))</f>
        <v/>
      </c>
      <c r="F198" s="159" t="str">
        <f ca="1">IF(A198&gt;'Additional Input'!$E$11,"",($F197*(1+'Additional Input'!$F$27))-$Q197+IF(('Additional Input'!$K$40)&gt;A197,'Additional Input'!$D$40*(1+IF('Additional Input'!$H$40=TRUE,'Additional Input'!$D$13,0))^A197,0)+IF(('Additional Input'!$K$40)&gt;A197,'Additional Input'!$F$40*(1+IF('Additional Input'!$H$40=TRUE,'Additional Input'!$D$13,0))^A197,0))</f>
        <v/>
      </c>
      <c r="G198" s="646" t="str">
        <f ca="1">IF(A198&gt;'Additional Input'!$E$11,"",-VLOOKUP(A198*12,Amortization,2))</f>
        <v/>
      </c>
      <c r="H198" s="159" t="str">
        <f ca="1">IF(A198&gt;'Additional Input'!$E$11,"",IF(A198&lt;=Calculator!$F$7,Calculator!$D$7,0)+Calculator!$D$8)</f>
        <v/>
      </c>
      <c r="I198" s="159" t="str">
        <f ca="1">IF(A198&gt;'Additional Input'!$E$11,"",D198+E198+F198+G198+H198)</f>
        <v/>
      </c>
      <c r="J198" s="646" t="str">
        <f ca="1">IF(A198&gt;'Additional Input'!$E$11,"",0)</f>
        <v/>
      </c>
      <c r="K198" s="159" t="str">
        <f ca="1">IF(A198&gt;'Additional Input'!$E$11,"",0)</f>
        <v/>
      </c>
      <c r="L198" s="159" t="str">
        <f ca="1">IF(A198&gt;'Additional Input'!$E$11,"",J198+K198)</f>
        <v/>
      </c>
      <c r="M198" s="126" t="str">
        <f ca="1">IF(A198&gt;'Additional Input'!$E$11,"",(D198*'Additional Input'!$F$26)+(E198*'Additional Input'!$F$28)+(F198*'Additional Input'!$F$27))</f>
        <v/>
      </c>
      <c r="N198" s="126" t="str">
        <f ca="1">IF(A198&gt;'Additional Input'!$E$11,"",IF(('Additional Input'!$K$35)&gt;Projections!A198,'Additional Input'!$D$35*(1+IF('Additional Input'!$H$35=TRUE,'Additional Input'!$D$13,0))^Projections!A198,0)+IF(('Additional Input'!$K$36)&gt;Projections!A198,'Additional Input'!$D$36*(1+IF('Additional Input'!$H$36=TRUE,'Additional Input'!$D$13,0))^Projections!A198,0)-IF(('Additional Input'!$K$40)&gt;A198,'Additional Input'!$D$40*(1+IF('Additional Input'!$H$39=TRUE,'Additional Input'!$D$13,0))^A198,0)+IF(('Additional Input'!$F$37-'Additional Input'!$N$9)&lt;=Projections!A198,'Additional Input'!$D$37*(1+IF('Additional Input'!$H$37=TRUE,'Additional Input'!$D$13,0))^IF('Additional Input'!$K$37=TRUE,Projections!A198,Projections!A198-('Additional Input'!$F$37-'Additional Input'!$N$9)),0)+Adjustments!C198)</f>
        <v/>
      </c>
      <c r="O198" s="823" t="str">
        <f ca="1">IF(A198&gt;'Additional Input'!$E$11,"",IF(('Additional Input'!$N$9+Projections!$A198)&gt;=IF('Additional Input'!$K$44=TRUE,71,70),VLOOKUP(('Additional Input'!$N$9+Projections!$A198),UniformTable,2),0))</f>
        <v/>
      </c>
      <c r="P198" s="822" t="str">
        <f ca="1">IF(A198&gt;'Additional Input'!$E$11,"",IF($O198=0,0,$F198/$O198))</f>
        <v/>
      </c>
      <c r="Q198" s="178" t="str">
        <f ca="1">IF(A198&gt;'Additional Input'!$E$11,"",IF(IF('Additional Input'!$D$44=TRUE,IF($O198=0,0,$F198/$O198),IF('Additional Input'!$F$45-'Additional Input'!$N$9&lt;=Projections!$A198,IF($F198*(1+$F$4)&lt;'Additional Input'!$D$45*IF('Additional Input'!$H$45=TRUE,(1+'Additional Input'!$D$13)^IF('Additional Input'!$K$45=TRUE,$A198,$A198-('Additional Input'!$F$45-'Additional Input'!$N$9)),1),$F198*(1+$F$4),'Additional Input'!$D$45*IF('Additional Input'!$H$45=TRUE,(1+'Additional Input'!$D$13)^IF('Additional Input'!$K$45=TRUE,$A198,$A198-('Additional Input'!$F$45-'Additional Input'!$N$9)),1)),0))&lt;$P198,$P198,IF('Additional Input'!$D$44=TRUE,IF($O198=0,0,$F198/$O198),IF('Additional Input'!$F$45-'Additional Input'!$N$9&lt;=Projections!$A198,IF($F198*(1+$F$4)&lt;'Additional Input'!$D$45*IF('Additional Input'!$H$45=TRUE,(1+'Additional Input'!$D$13)^IF('Additional Input'!$K$45=TRUE,$A198,$A198-('Additional Input'!$F$45-'Additional Input'!$N$9)),1),$F198*(1+$F$4),'Additional Input'!$D$45*IF('Additional Input'!$H$45=TRUE,(1+'Additional Input'!$D$13)^IF('Additional Input'!$K$45=TRUE,$A198,$A198-('Additional Input'!$F$45-'Additional Input'!$N$9)),1)),0)))+Adjustments!D198)</f>
        <v/>
      </c>
      <c r="R198" s="571" t="str">
        <f ca="1">IF(A198&gt;'Additional Input'!$E$11,"",-((N198+Q198)*'Additional Input'!$D$12)+Adjustments!E198)</f>
        <v/>
      </c>
      <c r="S198" s="571" t="str">
        <f ca="1">IF(A198&gt;'Additional Input'!$E$11,"",IF($A198&gt;='Additional Input'!$D$19,-'Additional Input'!$D$18*(1+IF('Additional Input'!$F$18=TRUE,'Additional Input'!$D$13,0))^Projections!A198,0)-TaxTables!D90+Adjustments!F198)</f>
        <v/>
      </c>
      <c r="T198" s="126" t="str">
        <f ca="1">IF(A198&gt;'Additional Input'!$E$11,"",N198+Q198+R198+S198)</f>
        <v/>
      </c>
    </row>
    <row r="199" spans="1:20">
      <c r="A199" s="650">
        <f t="shared" si="6"/>
        <v>60</v>
      </c>
      <c r="B199" s="651" t="str">
        <f ca="1">IF(A199&gt;'Additional Input'!$E$11,"",IF('Additional Input'!$N$9="","",'Additional Input'!$N$9+Projections!A199)&amp;"/"&amp;IF('Additional Input'!$O$9="","",IF('Additional Input'!$O$9=0,"",'Additional Input'!$O$9+Projections!A199)))</f>
        <v/>
      </c>
      <c r="C199" s="650" t="str">
        <f ca="1">IF(A199&gt;'Additional Input'!$E$11,"",+C198+1)</f>
        <v/>
      </c>
      <c r="D199" s="721" t="str">
        <f ca="1">IF(A199&gt;'Additional Input'!$E$11,"",($D198*(1+'Additional Input'!$F$26))+$N198+$Q198+$R198+$S198)</f>
        <v/>
      </c>
      <c r="E199" s="653" t="str">
        <f ca="1">IF(A199&gt;'Additional Input'!$E$11,"",E198*(1+'Additional Input'!$F$28))</f>
        <v/>
      </c>
      <c r="F199" s="653" t="str">
        <f ca="1">IF(A199&gt;'Additional Input'!$E$11,"",($F198*(1+'Additional Input'!$F$27))-$Q198+IF(('Additional Input'!$K$40)&gt;A198,'Additional Input'!$D$40*(1+IF('Additional Input'!$H$40=TRUE,'Additional Input'!$D$13,0))^A198,0)+IF(('Additional Input'!$K$40)&gt;A198,'Additional Input'!$F$40*(1+IF('Additional Input'!$H$40=TRUE,'Additional Input'!$D$13,0))^A198,0))</f>
        <v/>
      </c>
      <c r="G199" s="853" t="str">
        <f ca="1">IF(A199&gt;'Additional Input'!$E$11,"",-VLOOKUP(A199*12,Amortization,2))</f>
        <v/>
      </c>
      <c r="H199" s="721" t="str">
        <f ca="1">IF(A199&gt;'Additional Input'!$E$11,"",IF(A199&lt;=Calculator!$F$7,Calculator!$D$7,0)+Calculator!$D$8)</f>
        <v/>
      </c>
      <c r="I199" s="652" t="str">
        <f ca="1">IF(A199&gt;'Additional Input'!$E$11,"",D199+E199+F199+G199+H199)</f>
        <v/>
      </c>
      <c r="J199" s="720" t="str">
        <f ca="1">IF(A199&gt;'Additional Input'!$E$11,"",0)</f>
        <v/>
      </c>
      <c r="K199" s="721" t="str">
        <f ca="1">IF(A199&gt;'Additional Input'!$E$11,"",0)</f>
        <v/>
      </c>
      <c r="L199" s="652" t="str">
        <f ca="1">IF(A199&gt;'Additional Input'!$E$11,"",J199+K199)</f>
        <v/>
      </c>
      <c r="M199" s="654" t="str">
        <f ca="1">IF(A199&gt;'Additional Input'!$E$11,"",(D199*'Additional Input'!$F$26)+(E199*'Additional Input'!$F$28)+(F199*'Additional Input'!$F$27))</f>
        <v/>
      </c>
      <c r="N199" s="655" t="str">
        <f ca="1">IF(A199&gt;'Additional Input'!$E$11,"",IF(('Additional Input'!$K$35)&gt;Projections!A199,'Additional Input'!$D$35*(1+IF('Additional Input'!$H$35=TRUE,'Additional Input'!$D$13,0))^Projections!A199,0)+IF(('Additional Input'!$K$36)&gt;Projections!A199,'Additional Input'!$D$36*(1+IF('Additional Input'!$H$36=TRUE,'Additional Input'!$D$13,0))^Projections!A199,0)-IF(('Additional Input'!$K$40)&gt;A199,'Additional Input'!$D$40*(1+IF('Additional Input'!$H$39=TRUE,'Additional Input'!$D$13,0))^A199,0)+IF(('Additional Input'!$F$37-'Additional Input'!$N$9)&lt;=Projections!A199,'Additional Input'!$D$37*(1+IF('Additional Input'!$H$37=TRUE,'Additional Input'!$D$13,0))^IF('Additional Input'!$K$37=TRUE,Projections!A199,Projections!A199-('Additional Input'!$F$37-'Additional Input'!$N$9)),0)+Adjustments!C199)</f>
        <v/>
      </c>
      <c r="O199" s="824" t="str">
        <f ca="1">IF(A199&gt;'Additional Input'!$E$11,"",IF(('Additional Input'!$N$9+Projections!$A199)&gt;=IF('Additional Input'!$K$44=TRUE,71,70),VLOOKUP(('Additional Input'!$N$9+Projections!$A199),UniformTable,2),0))</f>
        <v/>
      </c>
      <c r="P199" s="825" t="str">
        <f ca="1">IF(A199&gt;'Additional Input'!$E$11,"",IF($O199=0,0,$F199/$O199))</f>
        <v/>
      </c>
      <c r="Q199" s="655" t="str">
        <f ca="1">IF(A199&gt;'Additional Input'!$E$11,"",IF(IF('Additional Input'!$D$44=TRUE,IF($O199=0,0,$F199/$O199),IF('Additional Input'!$F$45-'Additional Input'!$N$9&lt;=Projections!$A199,IF($F199*(1+$F$4)&lt;'Additional Input'!$D$45*IF('Additional Input'!$H$45=TRUE,(1+'Additional Input'!$D$13)^IF('Additional Input'!$K$45=TRUE,$A199,$A199-('Additional Input'!$F$45-'Additional Input'!$N$9)),1),$F199*(1+$F$4),'Additional Input'!$D$45*IF('Additional Input'!$H$45=TRUE,(1+'Additional Input'!$D$13)^IF('Additional Input'!$K$45=TRUE,$A199,$A199-('Additional Input'!$F$45-'Additional Input'!$N$9)),1)),0))&lt;$P199,$P199,IF('Additional Input'!$D$44=TRUE,IF($O199=0,0,$F199/$O199),IF('Additional Input'!$F$45-'Additional Input'!$N$9&lt;=Projections!$A199,IF($F199*(1+$F$4)&lt;'Additional Input'!$D$45*IF('Additional Input'!$H$45=TRUE,(1+'Additional Input'!$D$13)^IF('Additional Input'!$K$45=TRUE,$A199,$A199-('Additional Input'!$F$45-'Additional Input'!$N$9)),1),$F199*(1+$F$4),'Additional Input'!$D$45*IF('Additional Input'!$H$45=TRUE,(1+'Additional Input'!$D$13)^IF('Additional Input'!$K$45=TRUE,$A199,$A199-('Additional Input'!$F$45-'Additional Input'!$N$9)),1)),0)))+Adjustments!D199)</f>
        <v/>
      </c>
      <c r="R199" s="656" t="str">
        <f ca="1">IF(A199&gt;'Additional Input'!$E$11,"",-((N199+Q199)*'Additional Input'!$D$12)+Adjustments!E199)</f>
        <v/>
      </c>
      <c r="S199" s="656" t="str">
        <f ca="1">IF(A199&gt;'Additional Input'!$E$11,"",IF($A199&gt;='Additional Input'!$D$19,-'Additional Input'!$D$18*(1+IF('Additional Input'!$F$18=TRUE,'Additional Input'!$D$13,0))^Projections!A199,0)-TaxTables!D91+Adjustments!F199)</f>
        <v/>
      </c>
      <c r="T199" s="654" t="str">
        <f ca="1">IF(A199&gt;'Additional Input'!$E$11,"",N199+Q199+R199+S199)</f>
        <v/>
      </c>
    </row>
    <row r="200" spans="1:20">
      <c r="A200" s="1069"/>
      <c r="B200" s="1069"/>
      <c r="C200" s="1069"/>
      <c r="D200" s="1069"/>
      <c r="E200" s="370"/>
      <c r="F200" s="370"/>
      <c r="G200" s="179"/>
      <c r="H200" s="179"/>
      <c r="I200" s="179"/>
      <c r="K200" s="179"/>
      <c r="L200" s="179"/>
      <c r="M200" s="370" t="s">
        <v>366</v>
      </c>
      <c r="N200" s="183">
        <f t="shared" ref="N200" ca="1" si="7">SUM(N139:N199)</f>
        <v>0</v>
      </c>
      <c r="O200" s="369"/>
      <c r="P200" s="183">
        <f t="shared" ref="P200:S200" ca="1" si="8">SUM(P139:P199)</f>
        <v>0</v>
      </c>
      <c r="Q200" s="183">
        <f t="shared" ca="1" si="8"/>
        <v>0</v>
      </c>
      <c r="R200" s="572">
        <f t="shared" ca="1" si="8"/>
        <v>0</v>
      </c>
      <c r="S200" s="572">
        <f t="shared" ca="1" si="8"/>
        <v>0</v>
      </c>
      <c r="T200" s="180"/>
    </row>
  </sheetData>
  <sheetProtection password="9227" sheet="1" objects="1" scenarios="1" selectLockedCells="1" selectUnlockedCells="1"/>
  <mergeCells count="27">
    <mergeCell ref="A136:L136"/>
    <mergeCell ref="M136:T136"/>
    <mergeCell ref="N138:Q138"/>
    <mergeCell ref="A200:D200"/>
    <mergeCell ref="A69:L69"/>
    <mergeCell ref="M69:T69"/>
    <mergeCell ref="N71:Q71"/>
    <mergeCell ref="A133:D133"/>
    <mergeCell ref="A135:C135"/>
    <mergeCell ref="D135:E135"/>
    <mergeCell ref="F135:K135"/>
    <mergeCell ref="M135:N135"/>
    <mergeCell ref="O135:T135"/>
    <mergeCell ref="A68:C68"/>
    <mergeCell ref="D68:E68"/>
    <mergeCell ref="F68:K68"/>
    <mergeCell ref="M68:N68"/>
    <mergeCell ref="O68:T68"/>
    <mergeCell ref="A66:D66"/>
    <mergeCell ref="N4:Q4"/>
    <mergeCell ref="M2:T2"/>
    <mergeCell ref="A2:L2"/>
    <mergeCell ref="D1:E1"/>
    <mergeCell ref="F1:K1"/>
    <mergeCell ref="A1:C1"/>
    <mergeCell ref="M1:N1"/>
    <mergeCell ref="O1:T1"/>
  </mergeCells>
  <printOptions horizontalCentered="1"/>
  <pageMargins left="0.5" right="0.5" top="0.6" bottom="0.4" header="0.3" footer="0.3"/>
  <pageSetup scale="82" fitToHeight="2" orientation="portrait" horizontalDpi="1200" verticalDpi="1200" r:id="rId1"/>
  <headerFooter>
    <oddFooter>&amp;C&amp;"-,Regular"&amp;8&amp;K01+024Years 46-59 available upon request.</oddFooter>
  </headerFooter>
  <colBreaks count="1" manualBreakCount="1">
    <brk id="12" max="1048575" man="1"/>
  </colBreaks>
  <legacyDrawing r:id="rId2"/>
</worksheet>
</file>

<file path=xl/worksheets/sheet7.xml><?xml version="1.0" encoding="utf-8"?>
<worksheet xmlns="http://schemas.openxmlformats.org/spreadsheetml/2006/main" xmlns:r="http://schemas.openxmlformats.org/officeDocument/2006/relationships">
  <sheetPr>
    <pageSetUpPr fitToPage="1"/>
  </sheetPr>
  <dimension ref="A1:J57"/>
  <sheetViews>
    <sheetView showGridLines="0" showRowColHeaders="0" showRuler="0" zoomScale="85" zoomScaleNormal="85" workbookViewId="0">
      <selection sqref="A1:B1"/>
    </sheetView>
  </sheetViews>
  <sheetFormatPr defaultRowHeight="12.75"/>
  <cols>
    <col min="1" max="1" width="0.875" style="5" customWidth="1"/>
    <col min="2" max="2" width="10.5" style="5" customWidth="1"/>
    <col min="3" max="3" width="16.5" style="5" customWidth="1"/>
    <col min="4" max="4" width="18.75" style="5" customWidth="1"/>
    <col min="5" max="5" width="10.625" style="5" customWidth="1"/>
    <col min="6" max="6" width="1.375" style="5" customWidth="1"/>
    <col min="7" max="7" width="5.5" style="5" customWidth="1"/>
    <col min="8" max="8" width="9.25" style="5" customWidth="1"/>
    <col min="9" max="9" width="8.125" style="5" customWidth="1"/>
    <col min="10" max="10" width="7.625" style="5" customWidth="1"/>
    <col min="11" max="16384" width="9" style="5"/>
  </cols>
  <sheetData>
    <row r="1" spans="1:10" ht="30.75" customHeight="1" thickBot="1">
      <c r="A1" s="1083"/>
      <c r="B1" s="1084"/>
      <c r="C1" s="660" t="s">
        <v>448</v>
      </c>
      <c r="D1" s="1072" t="s">
        <v>515</v>
      </c>
      <c r="E1" s="1073"/>
      <c r="F1" s="1073"/>
      <c r="G1" s="1073"/>
      <c r="H1" s="1073"/>
      <c r="I1" s="1073"/>
      <c r="J1" s="1074"/>
    </row>
    <row r="2" spans="1:10" ht="19.5" customHeight="1">
      <c r="B2" s="1091" t="s">
        <v>458</v>
      </c>
      <c r="C2" s="1091"/>
      <c r="D2" s="1091"/>
      <c r="E2" s="1091"/>
      <c r="F2" s="1091"/>
      <c r="G2" s="1091"/>
      <c r="H2" s="1091"/>
      <c r="I2" s="1091"/>
      <c r="J2" s="1091"/>
    </row>
    <row r="3" spans="1:10" ht="15.75" customHeight="1">
      <c r="C3" s="821"/>
      <c r="D3" s="821"/>
      <c r="E3" s="821"/>
      <c r="F3" s="821"/>
      <c r="G3" s="9"/>
      <c r="H3" s="1085" t="s">
        <v>116</v>
      </c>
      <c r="I3" s="1086"/>
      <c r="J3" s="1087"/>
    </row>
    <row r="4" spans="1:10" ht="15.75" customHeight="1">
      <c r="B4" s="1080" t="s">
        <v>350</v>
      </c>
      <c r="C4" s="1080"/>
      <c r="D4" s="1080"/>
      <c r="E4" s="1080"/>
      <c r="F4" s="1080"/>
      <c r="G4" s="9"/>
      <c r="H4" s="1088" t="s">
        <v>117</v>
      </c>
      <c r="I4" s="1089"/>
      <c r="J4" s="1090"/>
    </row>
    <row r="5" spans="1:10" ht="15.75" customHeight="1">
      <c r="B5" s="1080"/>
      <c r="C5" s="1080"/>
      <c r="D5" s="1080"/>
      <c r="E5" s="1080"/>
      <c r="F5" s="1080"/>
      <c r="G5" s="9"/>
      <c r="H5" s="379">
        <v>0</v>
      </c>
      <c r="I5" s="380">
        <v>0</v>
      </c>
      <c r="J5" s="381">
        <v>0</v>
      </c>
    </row>
    <row r="6" spans="1:10" ht="15.75" customHeight="1">
      <c r="B6" s="1080"/>
      <c r="C6" s="1080"/>
      <c r="D6" s="1080"/>
      <c r="E6" s="1080"/>
      <c r="F6" s="1080"/>
      <c r="G6" s="9"/>
      <c r="H6" s="382">
        <v>100000</v>
      </c>
      <c r="I6" s="6">
        <v>0</v>
      </c>
      <c r="J6" s="383">
        <v>8.0000000000000002E-3</v>
      </c>
    </row>
    <row r="7" spans="1:10" ht="15.75" customHeight="1">
      <c r="B7" s="1080"/>
      <c r="C7" s="1080"/>
      <c r="D7" s="1080"/>
      <c r="E7" s="1080"/>
      <c r="F7" s="1080"/>
      <c r="G7" s="9"/>
      <c r="H7" s="382">
        <v>150000</v>
      </c>
      <c r="I7" s="6">
        <v>400</v>
      </c>
      <c r="J7" s="383">
        <v>1.6E-2</v>
      </c>
    </row>
    <row r="8" spans="1:10" ht="15.75" customHeight="1">
      <c r="B8" s="1080"/>
      <c r="C8" s="1080"/>
      <c r="D8" s="1080"/>
      <c r="E8" s="1080"/>
      <c r="F8" s="1080"/>
      <c r="G8" s="9"/>
      <c r="H8" s="382">
        <v>200000</v>
      </c>
      <c r="I8" s="7">
        <v>1200</v>
      </c>
      <c r="J8" s="383">
        <v>2.4E-2</v>
      </c>
    </row>
    <row r="9" spans="1:10" ht="15.75" customHeight="1">
      <c r="B9" s="1080"/>
      <c r="C9" s="1080"/>
      <c r="D9" s="1080"/>
      <c r="E9" s="1080"/>
      <c r="F9" s="1080"/>
      <c r="G9" s="9"/>
      <c r="H9" s="382">
        <v>300000</v>
      </c>
      <c r="I9" s="7">
        <v>3600</v>
      </c>
      <c r="J9" s="383">
        <v>3.2000000000000001E-2</v>
      </c>
    </row>
    <row r="10" spans="1:10" ht="15.75" customHeight="1">
      <c r="B10" s="1080"/>
      <c r="C10" s="1080"/>
      <c r="D10" s="1080"/>
      <c r="E10" s="1080"/>
      <c r="F10" s="1080"/>
      <c r="G10" s="9"/>
      <c r="H10" s="382">
        <v>500000</v>
      </c>
      <c r="I10" s="7">
        <v>10000</v>
      </c>
      <c r="J10" s="383">
        <v>0.04</v>
      </c>
    </row>
    <row r="11" spans="1:10" ht="15.75" customHeight="1">
      <c r="B11" s="821"/>
      <c r="C11" s="821"/>
      <c r="D11" s="821"/>
      <c r="E11" s="821"/>
      <c r="F11" s="821"/>
      <c r="G11" s="9"/>
      <c r="H11" s="382">
        <v>700000</v>
      </c>
      <c r="I11" s="7">
        <v>18000</v>
      </c>
      <c r="J11" s="383">
        <v>4.8000000000000001E-2</v>
      </c>
    </row>
    <row r="12" spans="1:10" ht="15.75" customHeight="1">
      <c r="B12" s="743" t="s">
        <v>491</v>
      </c>
      <c r="C12" s="743"/>
      <c r="D12" s="743"/>
      <c r="E12" s="743"/>
      <c r="F12" s="743"/>
      <c r="G12" s="9"/>
      <c r="H12" s="382">
        <v>900000</v>
      </c>
      <c r="I12" s="7">
        <v>27600</v>
      </c>
      <c r="J12" s="383">
        <v>5.6000000000000001E-2</v>
      </c>
    </row>
    <row r="13" spans="1:10" ht="15.75" customHeight="1">
      <c r="B13" s="1081" t="s">
        <v>367</v>
      </c>
      <c r="C13" s="1081"/>
      <c r="D13" s="1081"/>
      <c r="E13" s="1081"/>
      <c r="F13" s="1081"/>
      <c r="G13" s="377"/>
      <c r="H13" s="382">
        <v>1100000</v>
      </c>
      <c r="I13" s="7">
        <v>38800</v>
      </c>
      <c r="J13" s="383">
        <v>6.4000000000000001E-2</v>
      </c>
    </row>
    <row r="14" spans="1:10" ht="15.75" customHeight="1">
      <c r="H14" s="382">
        <v>1600000</v>
      </c>
      <c r="I14" s="7">
        <v>70800</v>
      </c>
      <c r="J14" s="383">
        <v>7.1999999999999995E-2</v>
      </c>
    </row>
    <row r="15" spans="1:10" ht="15.75" customHeight="1">
      <c r="B15" s="1080" t="s">
        <v>351</v>
      </c>
      <c r="C15" s="1080"/>
      <c r="D15" s="1080"/>
      <c r="E15" s="1080"/>
      <c r="F15" s="1080"/>
      <c r="G15" s="378"/>
      <c r="H15" s="382">
        <v>2100000</v>
      </c>
      <c r="I15" s="7">
        <v>106800</v>
      </c>
      <c r="J15" s="383">
        <v>0.08</v>
      </c>
    </row>
    <row r="16" spans="1:10" ht="15.75" customHeight="1">
      <c r="B16" s="1080"/>
      <c r="C16" s="1080"/>
      <c r="D16" s="1080"/>
      <c r="E16" s="1080"/>
      <c r="F16" s="1080"/>
      <c r="G16" s="378"/>
      <c r="H16" s="382">
        <v>2600000</v>
      </c>
      <c r="I16" s="7">
        <v>146800</v>
      </c>
      <c r="J16" s="383">
        <v>8.7999999999999995E-2</v>
      </c>
    </row>
    <row r="17" spans="2:10" ht="15.75" customHeight="1">
      <c r="B17" s="1080"/>
      <c r="C17" s="1080"/>
      <c r="D17" s="1080"/>
      <c r="E17" s="1080"/>
      <c r="F17" s="1080"/>
      <c r="G17" s="378"/>
      <c r="H17" s="382">
        <v>3100000</v>
      </c>
      <c r="I17" s="7">
        <v>190800</v>
      </c>
      <c r="J17" s="383">
        <v>9.6000000000000002E-2</v>
      </c>
    </row>
    <row r="18" spans="2:10" ht="15.75" customHeight="1">
      <c r="B18" s="1080"/>
      <c r="C18" s="1080"/>
      <c r="D18" s="1080"/>
      <c r="E18" s="1080"/>
      <c r="F18" s="1080"/>
      <c r="G18" s="378"/>
      <c r="H18" s="382">
        <v>3600000</v>
      </c>
      <c r="I18" s="7">
        <v>238800</v>
      </c>
      <c r="J18" s="383">
        <v>0.104</v>
      </c>
    </row>
    <row r="19" spans="2:10" ht="15.75" customHeight="1">
      <c r="B19" s="1080"/>
      <c r="C19" s="1080"/>
      <c r="D19" s="1080"/>
      <c r="E19" s="1080"/>
      <c r="F19" s="1080"/>
      <c r="G19" s="378"/>
      <c r="H19" s="382">
        <v>4100000</v>
      </c>
      <c r="I19" s="7">
        <v>290800</v>
      </c>
      <c r="J19" s="383">
        <v>0.112</v>
      </c>
    </row>
    <row r="20" spans="2:10" ht="15.75" customHeight="1">
      <c r="B20" s="821"/>
      <c r="C20" s="821"/>
      <c r="D20" s="821"/>
      <c r="E20" s="821"/>
      <c r="F20" s="821"/>
      <c r="G20" s="378"/>
      <c r="H20" s="382">
        <v>5100000</v>
      </c>
      <c r="I20" s="7">
        <v>402800</v>
      </c>
      <c r="J20" s="383">
        <v>0.12</v>
      </c>
    </row>
    <row r="21" spans="2:10" ht="15.75" customHeight="1">
      <c r="B21" s="414" t="s">
        <v>373</v>
      </c>
      <c r="C21" s="414"/>
      <c r="D21" s="414"/>
      <c r="E21" s="414"/>
      <c r="F21" s="414"/>
      <c r="G21" s="378"/>
      <c r="H21" s="382">
        <v>6100000</v>
      </c>
      <c r="I21" s="7">
        <v>522800</v>
      </c>
      <c r="J21" s="383">
        <v>0.128</v>
      </c>
    </row>
    <row r="22" spans="2:10" ht="15.75" customHeight="1">
      <c r="B22" s="1082" t="s">
        <v>225</v>
      </c>
      <c r="C22" s="1082"/>
      <c r="D22" s="1082"/>
      <c r="E22" s="1082"/>
      <c r="F22" s="1082"/>
      <c r="G22" s="378"/>
      <c r="H22" s="382">
        <v>7100000</v>
      </c>
      <c r="I22" s="7">
        <v>650800</v>
      </c>
      <c r="J22" s="383">
        <v>0.13600000000000001</v>
      </c>
    </row>
    <row r="23" spans="2:10" ht="15.75" customHeight="1">
      <c r="B23" s="821"/>
      <c r="C23" s="821"/>
      <c r="D23" s="821"/>
      <c r="E23" s="821"/>
      <c r="F23" s="821"/>
      <c r="G23" s="378"/>
      <c r="H23" s="382">
        <v>8100000</v>
      </c>
      <c r="I23" s="7">
        <v>786800</v>
      </c>
      <c r="J23" s="383">
        <v>0.14399999999999999</v>
      </c>
    </row>
    <row r="24" spans="2:10" ht="15.75" customHeight="1">
      <c r="B24" s="1080" t="s">
        <v>359</v>
      </c>
      <c r="C24" s="1080"/>
      <c r="D24" s="1080"/>
      <c r="E24" s="1080"/>
      <c r="H24" s="382">
        <v>9100000</v>
      </c>
      <c r="I24" s="7">
        <v>930800</v>
      </c>
      <c r="J24" s="383">
        <v>0.152</v>
      </c>
    </row>
    <row r="25" spans="2:10" ht="15.75" customHeight="1">
      <c r="B25" s="1080"/>
      <c r="C25" s="1080"/>
      <c r="D25" s="1080"/>
      <c r="E25" s="1080"/>
      <c r="H25" s="384">
        <v>10100000</v>
      </c>
      <c r="I25" s="385">
        <v>1082800</v>
      </c>
      <c r="J25" s="386">
        <v>0.16</v>
      </c>
    </row>
    <row r="26" spans="2:10" ht="15.75" customHeight="1">
      <c r="B26" s="1080"/>
      <c r="C26" s="1080"/>
      <c r="D26" s="1080"/>
      <c r="E26" s="1080"/>
    </row>
    <row r="27" spans="2:10" ht="15.75" customHeight="1">
      <c r="B27" s="1080"/>
      <c r="C27" s="1080"/>
      <c r="D27" s="1080"/>
      <c r="E27" s="1080"/>
      <c r="F27" s="12"/>
      <c r="G27" s="1093" t="s">
        <v>123</v>
      </c>
      <c r="H27" s="1094"/>
      <c r="I27" s="1094"/>
      <c r="J27" s="1095"/>
    </row>
    <row r="28" spans="2:10" ht="15.75" customHeight="1">
      <c r="B28" s="1080"/>
      <c r="C28" s="1080"/>
      <c r="D28" s="1080"/>
      <c r="E28" s="1080"/>
      <c r="F28" s="12"/>
      <c r="G28" s="374"/>
      <c r="H28" s="374" t="s">
        <v>193</v>
      </c>
      <c r="I28" s="374" t="s">
        <v>163</v>
      </c>
      <c r="J28" s="374" t="s">
        <v>118</v>
      </c>
    </row>
    <row r="29" spans="2:10" ht="15.75" customHeight="1">
      <c r="B29" s="1101" t="s">
        <v>352</v>
      </c>
      <c r="C29" s="1101"/>
      <c r="D29" s="1101"/>
      <c r="E29" s="1101"/>
      <c r="F29" s="12"/>
      <c r="G29" s="375" t="s">
        <v>122</v>
      </c>
      <c r="H29" s="376" t="s">
        <v>119</v>
      </c>
      <c r="I29" s="376" t="s">
        <v>120</v>
      </c>
      <c r="J29" s="376" t="s">
        <v>138</v>
      </c>
    </row>
    <row r="30" spans="2:10" ht="15.75" customHeight="1">
      <c r="B30" s="1101"/>
      <c r="C30" s="1101"/>
      <c r="D30" s="1101"/>
      <c r="E30" s="1101"/>
      <c r="F30" s="12"/>
      <c r="G30" s="371" t="s">
        <v>221</v>
      </c>
      <c r="H30" s="114">
        <v>0.1</v>
      </c>
      <c r="I30" s="114">
        <v>0.15</v>
      </c>
      <c r="J30" s="372">
        <v>0.2</v>
      </c>
    </row>
    <row r="31" spans="2:10" ht="15.75" customHeight="1">
      <c r="B31" s="1101"/>
      <c r="C31" s="1101"/>
      <c r="D31" s="1101"/>
      <c r="E31" s="1101"/>
      <c r="F31" s="12"/>
      <c r="G31" s="371" t="s">
        <v>45</v>
      </c>
      <c r="H31" s="114">
        <v>0</v>
      </c>
      <c r="I31" s="114">
        <v>0.15</v>
      </c>
      <c r="J31" s="372">
        <v>0.15</v>
      </c>
    </row>
    <row r="32" spans="2:10" ht="15.75" customHeight="1">
      <c r="B32" s="1101"/>
      <c r="C32" s="1101"/>
      <c r="D32" s="1101"/>
      <c r="E32" s="1101"/>
      <c r="F32" s="12"/>
      <c r="G32" s="371" t="s">
        <v>49</v>
      </c>
      <c r="H32" s="114">
        <v>0</v>
      </c>
      <c r="I32" s="114">
        <v>0.16</v>
      </c>
      <c r="J32" s="372">
        <v>0.16</v>
      </c>
    </row>
    <row r="33" spans="2:10" ht="15.75" customHeight="1">
      <c r="B33" s="1096" t="s">
        <v>226</v>
      </c>
      <c r="C33" s="1096"/>
      <c r="D33" s="1096"/>
      <c r="E33" s="1096"/>
      <c r="F33" s="11"/>
      <c r="G33" s="371" t="s">
        <v>55</v>
      </c>
      <c r="H33" s="114">
        <v>0</v>
      </c>
      <c r="I33" s="114">
        <v>0.1</v>
      </c>
      <c r="J33" s="372">
        <v>0.1</v>
      </c>
    </row>
    <row r="34" spans="2:10" ht="15.75" customHeight="1">
      <c r="G34" s="371" t="s">
        <v>69</v>
      </c>
      <c r="H34" s="114">
        <v>0.01</v>
      </c>
      <c r="I34" s="114">
        <v>0.13</v>
      </c>
      <c r="J34" s="372">
        <v>0.18</v>
      </c>
    </row>
    <row r="35" spans="2:10" ht="15.75" customHeight="1">
      <c r="B35" s="1102" t="s">
        <v>353</v>
      </c>
      <c r="C35" s="1102"/>
      <c r="D35" s="1102"/>
      <c r="E35" s="1102"/>
      <c r="G35" s="371" t="s">
        <v>75</v>
      </c>
      <c r="H35" s="114">
        <v>0</v>
      </c>
      <c r="I35" s="114">
        <v>0.16</v>
      </c>
      <c r="J35" s="372">
        <v>0.16</v>
      </c>
    </row>
    <row r="36" spans="2:10" ht="15.75" customHeight="1">
      <c r="B36" s="1102"/>
      <c r="C36" s="1102"/>
      <c r="D36" s="1102"/>
      <c r="E36" s="1102"/>
      <c r="G36" s="371" t="s">
        <v>90</v>
      </c>
      <c r="H36" s="115">
        <v>4.4999999999999998E-2</v>
      </c>
      <c r="I36" s="114">
        <v>0.12</v>
      </c>
      <c r="J36" s="372">
        <v>0.15</v>
      </c>
    </row>
    <row r="37" spans="2:10" ht="15.75" customHeight="1">
      <c r="B37" s="1102"/>
      <c r="C37" s="1102"/>
      <c r="D37" s="1102"/>
      <c r="E37" s="1102"/>
      <c r="F37" s="10"/>
      <c r="G37" s="371" t="s">
        <v>98</v>
      </c>
      <c r="H37" s="115">
        <v>9.5000000000000001E-2</v>
      </c>
      <c r="I37" s="115">
        <v>9.5000000000000001E-2</v>
      </c>
      <c r="J37" s="373">
        <v>9.5000000000000001E-2</v>
      </c>
    </row>
    <row r="38" spans="2:10" ht="15.75" customHeight="1">
      <c r="B38" s="1096" t="s">
        <v>226</v>
      </c>
      <c r="C38" s="1096"/>
      <c r="D38" s="1096"/>
      <c r="E38" s="1096"/>
      <c r="F38" s="10"/>
      <c r="G38" s="1098" t="s">
        <v>184</v>
      </c>
      <c r="H38" s="1099"/>
      <c r="I38" s="1099"/>
      <c r="J38" s="1100"/>
    </row>
    <row r="39" spans="2:10" ht="15.75" customHeight="1">
      <c r="C39" s="79"/>
      <c r="D39" s="79"/>
      <c r="E39" s="79"/>
      <c r="F39" s="10"/>
      <c r="G39" s="62"/>
      <c r="H39" s="62"/>
      <c r="I39" s="62"/>
      <c r="J39" s="62"/>
    </row>
    <row r="40" spans="2:10" ht="15.75" customHeight="1">
      <c r="B40" s="1080" t="s">
        <v>354</v>
      </c>
      <c r="C40" s="1080"/>
      <c r="D40" s="1080"/>
      <c r="E40" s="1080"/>
      <c r="F40" s="1080"/>
      <c r="G40" s="1080"/>
      <c r="H40" s="1080"/>
      <c r="I40" s="1080"/>
      <c r="J40" s="1080"/>
    </row>
    <row r="41" spans="2:10" ht="15.75" customHeight="1">
      <c r="B41" s="1080"/>
      <c r="C41" s="1080"/>
      <c r="D41" s="1080"/>
      <c r="E41" s="1080"/>
      <c r="F41" s="1080"/>
      <c r="G41" s="1080"/>
      <c r="H41" s="1080"/>
      <c r="I41" s="1080"/>
      <c r="J41" s="1080"/>
    </row>
    <row r="42" spans="2:10" ht="15.75" customHeight="1">
      <c r="B42" s="1080"/>
      <c r="C42" s="1080"/>
      <c r="D42" s="1080"/>
      <c r="E42" s="1080"/>
      <c r="F42" s="1080"/>
      <c r="G42" s="1080"/>
      <c r="H42" s="1080"/>
      <c r="I42" s="1080"/>
      <c r="J42" s="1080"/>
    </row>
    <row r="43" spans="2:10" ht="15.75" customHeight="1">
      <c r="B43" s="1096" t="s">
        <v>499</v>
      </c>
      <c r="C43" s="1096"/>
      <c r="D43" s="1096"/>
      <c r="E43" s="1096"/>
      <c r="F43" s="1096"/>
      <c r="G43" s="1096"/>
      <c r="H43" s="1096"/>
      <c r="I43" s="1096"/>
      <c r="J43" s="1096"/>
    </row>
    <row r="44" spans="2:10" ht="15.75" customHeight="1">
      <c r="B44" s="1097" t="s">
        <v>498</v>
      </c>
      <c r="C44" s="1097"/>
      <c r="D44" s="1097"/>
      <c r="E44" s="1097"/>
      <c r="F44" s="1097"/>
      <c r="G44" s="1097"/>
      <c r="H44" s="1097"/>
      <c r="I44" s="1097"/>
      <c r="J44" s="1097"/>
    </row>
    <row r="45" spans="2:10">
      <c r="C45" s="5" t="s">
        <v>220</v>
      </c>
      <c r="D45" s="1092"/>
      <c r="E45" s="1092"/>
      <c r="F45" s="1092"/>
      <c r="G45" s="1092"/>
    </row>
    <row r="57" spans="2:2">
      <c r="B57" s="8"/>
    </row>
  </sheetData>
  <sheetProtection password="9227" sheet="1" objects="1" scenarios="1" selectLockedCells="1" selectUnlockedCells="1"/>
  <mergeCells count="20">
    <mergeCell ref="D45:G45"/>
    <mergeCell ref="G27:J27"/>
    <mergeCell ref="B38:E38"/>
    <mergeCell ref="B43:J43"/>
    <mergeCell ref="B44:J44"/>
    <mergeCell ref="G38:J38"/>
    <mergeCell ref="B40:J42"/>
    <mergeCell ref="B29:E32"/>
    <mergeCell ref="B33:E33"/>
    <mergeCell ref="B35:E37"/>
    <mergeCell ref="B24:E28"/>
    <mergeCell ref="B4:F10"/>
    <mergeCell ref="B13:F13"/>
    <mergeCell ref="B22:F22"/>
    <mergeCell ref="D1:J1"/>
    <mergeCell ref="A1:B1"/>
    <mergeCell ref="H3:J3"/>
    <mergeCell ref="H4:J4"/>
    <mergeCell ref="B2:J2"/>
    <mergeCell ref="B15:F19"/>
  </mergeCells>
  <pageMargins left="0.7" right="0.7" top="0.75" bottom="0.5" header="0.3" footer="0.3"/>
  <pageSetup scale="91" orientation="portrait" horizontalDpi="1200" verticalDpi="1200" r:id="rId1"/>
</worksheet>
</file>

<file path=xl/worksheets/sheet8.xml><?xml version="1.0" encoding="utf-8"?>
<worksheet xmlns="http://schemas.openxmlformats.org/spreadsheetml/2006/main" xmlns:r="http://schemas.openxmlformats.org/officeDocument/2006/relationships">
  <sheetPr>
    <pageSetUpPr fitToPage="1"/>
  </sheetPr>
  <dimension ref="A1:F22"/>
  <sheetViews>
    <sheetView showGridLines="0" showRowColHeaders="0" showRuler="0" zoomScaleNormal="100" workbookViewId="0">
      <selection activeCell="F4" sqref="F4"/>
    </sheetView>
  </sheetViews>
  <sheetFormatPr defaultRowHeight="15"/>
  <cols>
    <col min="1" max="1" width="3.125" customWidth="1"/>
    <col min="2" max="2" width="10.625" customWidth="1"/>
    <col min="3" max="3" width="17.375" customWidth="1"/>
    <col min="4" max="4" width="29.5" customWidth="1"/>
    <col min="5" max="5" width="12.75" customWidth="1"/>
    <col min="6" max="6" width="19.875" customWidth="1"/>
  </cols>
  <sheetData>
    <row r="1" spans="1:6" ht="30.75" customHeight="1" thickBot="1">
      <c r="A1" s="1107"/>
      <c r="B1" s="1108"/>
      <c r="C1" s="659" t="s">
        <v>449</v>
      </c>
      <c r="D1" s="1104" t="s">
        <v>450</v>
      </c>
      <c r="E1" s="1105"/>
      <c r="F1" s="1106"/>
    </row>
    <row r="2" spans="1:6" ht="7.5" customHeight="1">
      <c r="A2" s="3"/>
      <c r="B2" s="3"/>
      <c r="C2" s="3"/>
      <c r="D2" s="2"/>
      <c r="E2" s="2"/>
      <c r="F2" s="4"/>
    </row>
    <row r="3" spans="1:6" ht="20.25" customHeight="1">
      <c r="A3" s="2"/>
      <c r="B3" s="2"/>
      <c r="C3" s="2"/>
      <c r="D3" s="2"/>
      <c r="E3" s="2"/>
      <c r="F3" s="78" t="s">
        <v>300</v>
      </c>
    </row>
    <row r="4" spans="1:6" ht="30" customHeight="1">
      <c r="A4" s="116">
        <v>1</v>
      </c>
      <c r="B4" s="1103" t="s">
        <v>199</v>
      </c>
      <c r="C4" s="1103"/>
      <c r="D4" s="1103"/>
      <c r="E4" s="1103"/>
      <c r="F4" s="80"/>
    </row>
    <row r="5" spans="1:6" ht="36" customHeight="1">
      <c r="A5" s="116">
        <v>2</v>
      </c>
      <c r="B5" s="1103" t="s">
        <v>200</v>
      </c>
      <c r="C5" s="1103"/>
      <c r="D5" s="1103"/>
      <c r="E5" s="1103"/>
      <c r="F5" s="80"/>
    </row>
    <row r="6" spans="1:6" ht="30" customHeight="1">
      <c r="A6" s="116">
        <v>3</v>
      </c>
      <c r="B6" s="1103" t="s">
        <v>201</v>
      </c>
      <c r="C6" s="1103"/>
      <c r="D6" s="1103"/>
      <c r="E6" s="1103"/>
      <c r="F6" s="80"/>
    </row>
    <row r="7" spans="1:6" ht="36" customHeight="1">
      <c r="A7" s="116">
        <v>4</v>
      </c>
      <c r="B7" s="1103" t="s">
        <v>212</v>
      </c>
      <c r="C7" s="1103"/>
      <c r="D7" s="1103"/>
      <c r="E7" s="1103"/>
      <c r="F7" s="80"/>
    </row>
    <row r="8" spans="1:6" ht="30" customHeight="1">
      <c r="A8" s="116">
        <v>5</v>
      </c>
      <c r="B8" s="1103" t="s">
        <v>202</v>
      </c>
      <c r="C8" s="1103"/>
      <c r="D8" s="1103"/>
      <c r="E8" s="1103"/>
      <c r="F8" s="80"/>
    </row>
    <row r="9" spans="1:6" ht="36" customHeight="1">
      <c r="A9" s="116">
        <v>6</v>
      </c>
      <c r="B9" s="1103" t="s">
        <v>213</v>
      </c>
      <c r="C9" s="1103"/>
      <c r="D9" s="1103"/>
      <c r="E9" s="1103"/>
      <c r="F9" s="80"/>
    </row>
    <row r="10" spans="1:6" ht="36" customHeight="1">
      <c r="A10" s="116">
        <v>7</v>
      </c>
      <c r="B10" s="1103" t="s">
        <v>203</v>
      </c>
      <c r="C10" s="1103"/>
      <c r="D10" s="1103"/>
      <c r="E10" s="1103"/>
      <c r="F10" s="80"/>
    </row>
    <row r="11" spans="1:6" ht="36" customHeight="1">
      <c r="A11" s="116">
        <v>8</v>
      </c>
      <c r="B11" s="1103" t="s">
        <v>204</v>
      </c>
      <c r="C11" s="1103"/>
      <c r="D11" s="1103"/>
      <c r="E11" s="1103"/>
      <c r="F11" s="80"/>
    </row>
    <row r="12" spans="1:6" ht="36" customHeight="1">
      <c r="A12" s="116">
        <v>9</v>
      </c>
      <c r="B12" s="1103" t="s">
        <v>211</v>
      </c>
      <c r="C12" s="1103"/>
      <c r="D12" s="1103"/>
      <c r="E12" s="1103"/>
      <c r="F12" s="80"/>
    </row>
    <row r="13" spans="1:6" ht="46.5" customHeight="1">
      <c r="A13" s="116">
        <v>10</v>
      </c>
      <c r="B13" s="1103" t="s">
        <v>214</v>
      </c>
      <c r="C13" s="1103"/>
      <c r="D13" s="1103"/>
      <c r="E13" s="1103"/>
      <c r="F13" s="80"/>
    </row>
    <row r="14" spans="1:6" ht="45" customHeight="1">
      <c r="A14" s="116">
        <v>11</v>
      </c>
      <c r="B14" s="1103" t="s">
        <v>209</v>
      </c>
      <c r="C14" s="1103"/>
      <c r="D14" s="1103"/>
      <c r="E14" s="1103"/>
      <c r="F14" s="80"/>
    </row>
    <row r="15" spans="1:6" ht="46.5" customHeight="1">
      <c r="A15" s="116">
        <v>12</v>
      </c>
      <c r="B15" s="1103" t="s">
        <v>210</v>
      </c>
      <c r="C15" s="1103"/>
      <c r="D15" s="1103"/>
      <c r="E15" s="1103"/>
      <c r="F15" s="80"/>
    </row>
    <row r="16" spans="1:6" ht="30" customHeight="1">
      <c r="A16" s="116">
        <v>13</v>
      </c>
      <c r="B16" s="1103" t="s">
        <v>205</v>
      </c>
      <c r="C16" s="1103"/>
      <c r="D16" s="1103"/>
      <c r="E16" s="1103"/>
      <c r="F16" s="80"/>
    </row>
    <row r="17" spans="1:6" ht="36" customHeight="1">
      <c r="A17" s="116">
        <v>14</v>
      </c>
      <c r="B17" s="1103" t="s">
        <v>206</v>
      </c>
      <c r="C17" s="1103"/>
      <c r="D17" s="1103"/>
      <c r="E17" s="1103"/>
      <c r="F17" s="80"/>
    </row>
    <row r="18" spans="1:6" ht="36" customHeight="1">
      <c r="A18" s="116">
        <v>15</v>
      </c>
      <c r="B18" s="1103" t="s">
        <v>215</v>
      </c>
      <c r="C18" s="1103"/>
      <c r="D18" s="1103"/>
      <c r="E18" s="1103"/>
      <c r="F18" s="80"/>
    </row>
    <row r="19" spans="1:6" ht="30" customHeight="1">
      <c r="A19" s="116">
        <v>16</v>
      </c>
      <c r="B19" s="1103" t="s">
        <v>207</v>
      </c>
      <c r="C19" s="1103"/>
      <c r="D19" s="1103"/>
      <c r="E19" s="1103"/>
      <c r="F19" s="80"/>
    </row>
    <row r="20" spans="1:6" ht="36" customHeight="1">
      <c r="A20" s="116">
        <v>17</v>
      </c>
      <c r="B20" s="1103" t="s">
        <v>208</v>
      </c>
      <c r="C20" s="1103"/>
      <c r="D20" s="1103"/>
      <c r="E20" s="1103"/>
      <c r="F20" s="80"/>
    </row>
    <row r="21" spans="1:6" ht="36" customHeight="1">
      <c r="A21" s="116">
        <v>18</v>
      </c>
      <c r="B21" s="1103" t="s">
        <v>355</v>
      </c>
      <c r="C21" s="1103"/>
      <c r="D21" s="1103"/>
      <c r="E21" s="1103"/>
      <c r="F21" s="80"/>
    </row>
    <row r="22" spans="1:6" ht="16.5">
      <c r="F22" s="60"/>
    </row>
  </sheetData>
  <sheetProtection password="9227" sheet="1" objects="1" scenarios="1" selectLockedCells="1"/>
  <mergeCells count="20">
    <mergeCell ref="B8:E8"/>
    <mergeCell ref="B19:E19"/>
    <mergeCell ref="B20:E20"/>
    <mergeCell ref="B18:E18"/>
    <mergeCell ref="D1:F1"/>
    <mergeCell ref="A1:B1"/>
    <mergeCell ref="B9:E9"/>
    <mergeCell ref="B10:E10"/>
    <mergeCell ref="B11:E11"/>
    <mergeCell ref="B12:E12"/>
    <mergeCell ref="B13:E13"/>
    <mergeCell ref="B4:E4"/>
    <mergeCell ref="B5:E5"/>
    <mergeCell ref="B6:E6"/>
    <mergeCell ref="B7:E7"/>
    <mergeCell ref="B21:E21"/>
    <mergeCell ref="B14:E14"/>
    <mergeCell ref="B15:E15"/>
    <mergeCell ref="B16:E16"/>
    <mergeCell ref="B17:E17"/>
  </mergeCells>
  <printOptions horizontalCentered="1"/>
  <pageMargins left="0.7" right="0.7" top="0.75" bottom="0.5" header="0.3" footer="0.3"/>
  <pageSetup scale="89" orientation="portrait" horizontalDpi="1200" verticalDpi="1200" r:id="rId1"/>
  <drawing r:id="rId2"/>
  <legacyDrawing r:id="rId3"/>
</worksheet>
</file>

<file path=xl/worksheets/sheet9.xml><?xml version="1.0" encoding="utf-8"?>
<worksheet xmlns="http://schemas.openxmlformats.org/spreadsheetml/2006/main" xmlns:r="http://schemas.openxmlformats.org/officeDocument/2006/relationships">
  <dimension ref="A1:BO216"/>
  <sheetViews>
    <sheetView showGridLines="0" showRowColHeaders="0" showRuler="0" zoomScaleNormal="100" workbookViewId="0">
      <selection sqref="A1:C1"/>
    </sheetView>
  </sheetViews>
  <sheetFormatPr defaultRowHeight="11.25"/>
  <cols>
    <col min="1" max="1" width="3.125" style="18" customWidth="1"/>
    <col min="2" max="2" width="4.125" style="74" customWidth="1"/>
    <col min="3" max="3" width="11.125" style="13" customWidth="1"/>
    <col min="4" max="4" width="7.625" style="18" customWidth="1"/>
    <col min="5" max="5" width="8" style="18" customWidth="1"/>
    <col min="6" max="7" width="8.25" style="18" customWidth="1"/>
    <col min="8" max="8" width="10.625" style="18" customWidth="1"/>
    <col min="9" max="9" width="5.5" style="19" customWidth="1"/>
    <col min="10" max="10" width="7.375" style="20" customWidth="1"/>
    <col min="11" max="11" width="12.625" style="21" customWidth="1"/>
    <col min="12" max="15" width="9.375" style="15" customWidth="1"/>
    <col min="16" max="17" width="10.125" style="15" hidden="1" customWidth="1"/>
    <col min="18" max="20" width="16.125" style="13" hidden="1" customWidth="1"/>
    <col min="21" max="37" width="10.625" style="13" hidden="1" customWidth="1"/>
    <col min="38" max="42" width="9" style="13" hidden="1" customWidth="1"/>
    <col min="43" max="43" width="1.625" style="13" hidden="1" customWidth="1"/>
    <col min="44" max="65" width="9" style="13" hidden="1" customWidth="1"/>
    <col min="66" max="66" width="9" style="13" customWidth="1"/>
    <col min="67" max="16384" width="9" style="13"/>
  </cols>
  <sheetData>
    <row r="1" spans="1:24" ht="30" customHeight="1" thickBot="1">
      <c r="A1" s="1110"/>
      <c r="B1" s="1111"/>
      <c r="C1" s="1112"/>
      <c r="D1" s="1078" t="s">
        <v>448</v>
      </c>
      <c r="E1" s="1109"/>
      <c r="F1" s="1079"/>
      <c r="G1" s="1110" t="s">
        <v>517</v>
      </c>
      <c r="H1" s="1111"/>
      <c r="I1" s="1111"/>
      <c r="J1" s="1111"/>
      <c r="K1" s="1111"/>
      <c r="L1" s="1111"/>
      <c r="M1" s="1111"/>
      <c r="N1" s="1111"/>
      <c r="O1" s="1112"/>
      <c r="P1" s="151"/>
      <c r="Q1" s="151"/>
    </row>
    <row r="2" spans="1:24" ht="28.5" customHeight="1">
      <c r="A2" s="1113" t="s">
        <v>227</v>
      </c>
      <c r="B2" s="1113"/>
      <c r="C2" s="1113"/>
      <c r="D2" s="1113"/>
      <c r="E2" s="1113"/>
      <c r="F2" s="1113"/>
      <c r="G2" s="1113"/>
      <c r="H2" s="1113"/>
      <c r="I2" s="1113"/>
      <c r="J2" s="1113"/>
      <c r="K2" s="1113"/>
      <c r="L2" s="1113"/>
      <c r="M2" s="1113"/>
      <c r="N2" s="1113"/>
      <c r="O2" s="1113"/>
      <c r="P2" s="152"/>
      <c r="Q2" s="152"/>
    </row>
    <row r="3" spans="1:24" s="14" customFormat="1" ht="27" customHeight="1">
      <c r="A3" s="1118" t="s">
        <v>11</v>
      </c>
      <c r="B3" s="1118"/>
      <c r="C3" s="1118"/>
      <c r="D3" s="338" t="s">
        <v>12</v>
      </c>
      <c r="E3" s="411" t="s">
        <v>357</v>
      </c>
      <c r="F3" s="338" t="s">
        <v>276</v>
      </c>
      <c r="G3" s="338" t="s">
        <v>275</v>
      </c>
      <c r="H3" s="338" t="s">
        <v>183</v>
      </c>
      <c r="I3" s="338" t="s">
        <v>277</v>
      </c>
      <c r="J3" s="339" t="s">
        <v>176</v>
      </c>
      <c r="K3" s="338" t="s">
        <v>177</v>
      </c>
      <c r="L3" s="346" t="s">
        <v>216</v>
      </c>
      <c r="M3" s="348" t="s">
        <v>217</v>
      </c>
      <c r="N3" s="347" t="s">
        <v>218</v>
      </c>
      <c r="O3" s="90" t="s">
        <v>219</v>
      </c>
      <c r="P3" s="156" t="s">
        <v>278</v>
      </c>
      <c r="Q3" s="157" t="s">
        <v>279</v>
      </c>
      <c r="R3" s="123" t="s">
        <v>153</v>
      </c>
      <c r="S3" s="124" t="s">
        <v>154</v>
      </c>
      <c r="T3" s="124" t="s">
        <v>155</v>
      </c>
    </row>
    <row r="4" spans="1:24" s="14" customFormat="1" ht="15" customHeight="1">
      <c r="A4" s="1119" t="str">
        <f ca="1">IF('Additional Input'!$D$30=0,"","Assumptions:  Current Estate:  "&amp;DOLLAR('Additional Input'!$D$30,-2)&amp;",  Proj. Estate ("&amp;'Additional Input'!$D$31&amp;" Yrs):  "&amp;DOLLAR('Additional Input'!$F$31,-2)&amp;",  Growth: ~ "&amp;Projections!M4*100&amp;"%,  Applicable Exclusion(s):  "&amp;IF(Calculator!$D$10=TRUE,2,1)&amp;",  Bene. Class:  "&amp;Calculator!$D$15&amp;",  State Exclusion - 1st Death:  "&amp;IF(Calculator!$D$14=TRUE,"Yes","No")&amp;",  State Inheritance Adjustment:  "&amp;DOLLAR(Calculator!$J$14,-2))</f>
        <v>Assumptions:  Current Estate:  $15,000,000,  Proj. Estate (20 Yrs):  $29,748,600,  Growth: ~ 4%,  Applicable Exclusion(s):  2,  Bene. Class:  1,  State Exclusion - 1st Death:  Yes,  State Inheritance Adjustment:  $0</v>
      </c>
      <c r="B4" s="1120"/>
      <c r="C4" s="1120"/>
      <c r="D4" s="1120"/>
      <c r="E4" s="1120"/>
      <c r="F4" s="1120"/>
      <c r="G4" s="1120"/>
      <c r="H4" s="1120"/>
      <c r="I4" s="1120"/>
      <c r="J4" s="1120"/>
      <c r="K4" s="1120"/>
      <c r="L4" s="1120"/>
      <c r="M4" s="1120"/>
      <c r="N4" s="1120"/>
      <c r="O4" s="1121"/>
      <c r="P4" s="153"/>
      <c r="Q4" s="153"/>
      <c r="R4" s="125"/>
      <c r="S4" s="125"/>
      <c r="T4" s="125"/>
    </row>
    <row r="5" spans="1:24" ht="14.25" customHeight="1">
      <c r="A5" s="51" t="s">
        <v>13</v>
      </c>
      <c r="B5" s="72">
        <v>-1</v>
      </c>
      <c r="C5" s="52" t="s">
        <v>14</v>
      </c>
      <c r="D5" s="51" t="s">
        <v>15</v>
      </c>
      <c r="E5" s="51"/>
      <c r="F5" s="81"/>
      <c r="G5" s="81"/>
      <c r="H5" s="51" t="s">
        <v>321</v>
      </c>
      <c r="I5" s="51"/>
      <c r="J5" s="53"/>
      <c r="K5" s="140"/>
      <c r="L5" s="53">
        <v>0</v>
      </c>
      <c r="M5" s="70">
        <v>0</v>
      </c>
      <c r="N5" s="53">
        <v>0</v>
      </c>
      <c r="O5" s="53">
        <v>0</v>
      </c>
      <c r="P5" s="150"/>
      <c r="Q5" s="150"/>
      <c r="R5" s="13" t="s">
        <v>156</v>
      </c>
      <c r="S5" s="13" t="s">
        <v>156</v>
      </c>
      <c r="T5" s="13" t="s">
        <v>156</v>
      </c>
    </row>
    <row r="6" spans="1:24" ht="14.25" customHeight="1">
      <c r="A6" s="47" t="s">
        <v>16</v>
      </c>
      <c r="B6" s="73">
        <v>-1</v>
      </c>
      <c r="C6" s="48" t="s">
        <v>17</v>
      </c>
      <c r="D6" s="47" t="s">
        <v>15</v>
      </c>
      <c r="E6" s="47"/>
      <c r="F6" s="82"/>
      <c r="G6" s="82"/>
      <c r="H6" s="47" t="s">
        <v>321</v>
      </c>
      <c r="I6" s="47"/>
      <c r="J6" s="49"/>
      <c r="K6" s="141"/>
      <c r="L6" s="49">
        <v>0</v>
      </c>
      <c r="M6" s="49">
        <v>0</v>
      </c>
      <c r="N6" s="49">
        <v>0</v>
      </c>
      <c r="O6" s="49">
        <v>0</v>
      </c>
      <c r="P6" s="150"/>
      <c r="Q6" s="150"/>
      <c r="R6" s="13" t="s">
        <v>156</v>
      </c>
      <c r="S6" s="13" t="s">
        <v>156</v>
      </c>
      <c r="T6" s="13" t="s">
        <v>156</v>
      </c>
    </row>
    <row r="7" spans="1:24" ht="14.25" customHeight="1">
      <c r="A7" s="47" t="s">
        <v>18</v>
      </c>
      <c r="B7" s="73">
        <v>-1</v>
      </c>
      <c r="C7" s="48" t="s">
        <v>19</v>
      </c>
      <c r="D7" s="47"/>
      <c r="E7" s="47"/>
      <c r="F7" s="82"/>
      <c r="G7" s="82"/>
      <c r="H7" s="47" t="s">
        <v>321</v>
      </c>
      <c r="I7" s="47"/>
      <c r="J7" s="49"/>
      <c r="K7" s="141"/>
      <c r="L7" s="49">
        <v>0</v>
      </c>
      <c r="M7" s="49">
        <v>0</v>
      </c>
      <c r="N7" s="49">
        <v>0</v>
      </c>
      <c r="O7" s="49">
        <v>0</v>
      </c>
      <c r="P7" s="150"/>
      <c r="Q7" s="150"/>
      <c r="R7" s="13" t="s">
        <v>156</v>
      </c>
      <c r="S7" s="13" t="s">
        <v>156</v>
      </c>
      <c r="T7" s="13" t="s">
        <v>156</v>
      </c>
    </row>
    <row r="8" spans="1:24" ht="14.25" customHeight="1">
      <c r="A8" s="47" t="s">
        <v>20</v>
      </c>
      <c r="B8" s="73">
        <v>-1</v>
      </c>
      <c r="C8" s="48" t="s">
        <v>21</v>
      </c>
      <c r="D8" s="47" t="s">
        <v>15</v>
      </c>
      <c r="E8" s="47"/>
      <c r="F8" s="82"/>
      <c r="G8" s="82"/>
      <c r="H8" s="47" t="s">
        <v>321</v>
      </c>
      <c r="I8" s="47"/>
      <c r="J8" s="49"/>
      <c r="K8" s="141"/>
      <c r="L8" s="49">
        <v>0</v>
      </c>
      <c r="M8" s="49">
        <v>0</v>
      </c>
      <c r="N8" s="49">
        <v>0</v>
      </c>
      <c r="O8" s="49">
        <v>0</v>
      </c>
      <c r="P8" s="150"/>
      <c r="Q8" s="150"/>
      <c r="R8" s="13" t="s">
        <v>156</v>
      </c>
      <c r="S8" s="13" t="s">
        <v>156</v>
      </c>
      <c r="T8" s="13" t="s">
        <v>156</v>
      </c>
    </row>
    <row r="9" spans="1:24" ht="14.25" customHeight="1">
      <c r="A9" s="47" t="s">
        <v>22</v>
      </c>
      <c r="B9" s="73">
        <v>-1</v>
      </c>
      <c r="C9" s="48" t="s">
        <v>23</v>
      </c>
      <c r="D9" s="47" t="s">
        <v>15</v>
      </c>
      <c r="E9" s="47"/>
      <c r="F9" s="82"/>
      <c r="G9" s="82"/>
      <c r="H9" s="47" t="s">
        <v>321</v>
      </c>
      <c r="I9" s="47"/>
      <c r="J9" s="49"/>
      <c r="K9" s="141"/>
      <c r="L9" s="49">
        <v>0</v>
      </c>
      <c r="M9" s="49">
        <v>0</v>
      </c>
      <c r="N9" s="49">
        <v>0</v>
      </c>
      <c r="O9" s="49">
        <v>0</v>
      </c>
      <c r="P9" s="150"/>
      <c r="Q9" s="150"/>
      <c r="R9" s="13" t="s">
        <v>156</v>
      </c>
      <c r="S9" s="13" t="s">
        <v>156</v>
      </c>
      <c r="T9" s="13" t="s">
        <v>156</v>
      </c>
    </row>
    <row r="10" spans="1:24" ht="14.25" customHeight="1">
      <c r="A10" s="47" t="s">
        <v>24</v>
      </c>
      <c r="B10" s="73">
        <v>-1</v>
      </c>
      <c r="C10" s="48" t="s">
        <v>25</v>
      </c>
      <c r="D10" s="47" t="s">
        <v>15</v>
      </c>
      <c r="E10" s="47"/>
      <c r="F10" s="82"/>
      <c r="G10" s="82"/>
      <c r="H10" s="47" t="s">
        <v>321</v>
      </c>
      <c r="I10" s="47"/>
      <c r="J10" s="49"/>
      <c r="K10" s="141"/>
      <c r="L10" s="49">
        <v>0</v>
      </c>
      <c r="M10" s="49">
        <v>0</v>
      </c>
      <c r="N10" s="49">
        <v>0</v>
      </c>
      <c r="O10" s="49">
        <v>0</v>
      </c>
      <c r="P10" s="150"/>
      <c r="Q10" s="150"/>
      <c r="R10" s="13" t="s">
        <v>156</v>
      </c>
      <c r="S10" s="13" t="s">
        <v>156</v>
      </c>
      <c r="T10" s="13" t="s">
        <v>156</v>
      </c>
    </row>
    <row r="11" spans="1:24" ht="14.25" customHeight="1">
      <c r="A11" s="47" t="s">
        <v>26</v>
      </c>
      <c r="B11" s="73">
        <f>-7</f>
        <v>-7</v>
      </c>
      <c r="C11" s="48" t="s">
        <v>27</v>
      </c>
      <c r="D11" s="47" t="s">
        <v>15</v>
      </c>
      <c r="E11" s="340" t="s">
        <v>28</v>
      </c>
      <c r="F11" s="341">
        <v>2000000</v>
      </c>
      <c r="G11" s="341">
        <f>F11</f>
        <v>2000000</v>
      </c>
      <c r="H11" s="47" t="s">
        <v>319</v>
      </c>
      <c r="I11" s="47"/>
      <c r="J11" s="49"/>
      <c r="K11" s="142" t="s">
        <v>181</v>
      </c>
      <c r="L11" s="85">
        <f>IF(Calculator!$D$35&lt;=$F11,0,(VLOOKUP(IF(Calculator!$D$10=TRUE,IF(Calculator!$D$14=TRUE,Calculator!$D$35-'State Details'!$F11,Calculator!$D$35),Calculator!$D$35),CT,3)+((IF(Calculator!$D$10=TRUE,IF(Calculator!$D$14=TRUE,Calculator!$D$35-'State Details'!$F11,Calculator!$D$35),Calculator!$D$35)-VLOOKUP(IF(Calculator!$D$10=TRUE,IF(Calculator!$D$14=TRUE,Calculator!$D$35-'State Details'!$F11,Calculator!$D$35),Calculator!$D$35),CT,1))*VLOOKUP(IF(Calculator!$D$10=TRUE,IF(Calculator!$D$14=TRUE,Calculator!$D$35-'State Details'!$F11,Calculator!$D$35),Calculator!$D$35),CT,4))))</f>
        <v>1086120</v>
      </c>
      <c r="M11" s="85">
        <f ca="1">IF(Calculator!$X$35&lt;=$G11,0,(VLOOKUP(IF(Calculator!$D$10=TRUE,IF(Calculator!$D$14=TRUE,Calculator!$X$35-'State Details'!$G11,Calculator!$X$35),Calculator!$X$35),CT,3)+((IF(Calculator!$D$10=TRUE,IF(Calculator!$D$14=TRUE,Calculator!$X$35-'State Details'!$G11,Calculator!$X$35),Calculator!$X$35)-VLOOKUP(IF(Calculator!$D$10=TRUE,IF(Calculator!$D$14=TRUE,Calculator!$X$35-'State Details'!$G11,Calculator!$X$35),Calculator!$X$35),CT,1))*VLOOKUP(IF(Calculator!$D$10=TRUE,IF(Calculator!$D$14=TRUE,Calculator!$X$35-'State Details'!$G11,Calculator!$X$35),Calculator!$X$35),CT,4))))</f>
        <v>2866026.7509929296</v>
      </c>
      <c r="N11" s="49">
        <v>0</v>
      </c>
      <c r="O11" s="49">
        <v>0</v>
      </c>
      <c r="P11" s="164">
        <f>IF(IF(Calculator!$D$14=TRUE,'Additional Input'!$D$30+'Additional Input'!$D$21-'State Details'!F11,'Additional Input'!$D$30+'Additional Input'!$D$21)&lt;=0,0,IF(Calculator!$D$14=TRUE,'Additional Input'!$D$30+'Additional Input'!$D$21-'State Details'!F11,'Additional Input'!$D$30+'Additional Input'!$D$21))</f>
        <v>13000000</v>
      </c>
      <c r="Q11" s="150">
        <f ca="1">IF(IF(Calculator!$D$14=TRUE,'Additional Input'!$F$31+'Additional Input'!$D$21-'State Details'!G11,'Additional Input'!$F$31+'Additional Input'!$D$21)&lt;=0,0,IF(Calculator!$D$14=TRUE,'Additional Input'!$F$31+'Additional Input'!$D$21-'State Details'!G11,'Additional Input'!$F$31+'Additional Input'!$D$21))</f>
        <v>27748556.258274414</v>
      </c>
      <c r="R11" s="13" t="s">
        <v>156</v>
      </c>
      <c r="S11" s="13" t="s">
        <v>156</v>
      </c>
      <c r="T11" s="13" t="s">
        <v>156</v>
      </c>
    </row>
    <row r="12" spans="1:24" ht="14.25" customHeight="1">
      <c r="A12" s="47" t="s">
        <v>29</v>
      </c>
      <c r="B12" s="75" t="str">
        <f>3&amp;", "&amp;7</f>
        <v>3, 7</v>
      </c>
      <c r="C12" s="48" t="s">
        <v>30</v>
      </c>
      <c r="D12" s="47" t="s">
        <v>15</v>
      </c>
      <c r="E12" s="340" t="s">
        <v>28</v>
      </c>
      <c r="F12" s="837">
        <f>'Additional Input'!$O$13</f>
        <v>5250000</v>
      </c>
      <c r="G12" s="341">
        <v>0</v>
      </c>
      <c r="H12" s="47" t="s">
        <v>320</v>
      </c>
      <c r="I12" s="47" t="s">
        <v>346</v>
      </c>
      <c r="J12" s="50"/>
      <c r="K12" s="142" t="s">
        <v>180</v>
      </c>
      <c r="L12" s="833">
        <f>IF(P12+Calculator!$J$14-F12&lt;=0,0,VLOOKUP(P12+Calculator!$J$14,DE,3)+(P12+Calculator!$J$14-VLOOKUP(P12+Calculator!$J$14,DE,1))*VLOOKUP(P12+Calculator!$J$14,DE,4))</f>
        <v>335600</v>
      </c>
      <c r="M12" s="833">
        <f>IF(Q12+Calculator!$J$14-G12&lt;=0,0,VLOOKUP(Q12+Calculator!$J$14,DE,3)+(Q12+Calculator!$J$14-VLOOKUP(Q12+Calculator!$J$14,DE,1))*VLOOKUP(Q12+Calculator!$J$14,DE,4))</f>
        <v>0</v>
      </c>
      <c r="N12" s="49">
        <v>0</v>
      </c>
      <c r="O12" s="49">
        <v>0</v>
      </c>
      <c r="P12" s="838">
        <f>IF(IF(Calculator!$D$14=TRUE,'Additional Input'!$D$30+'Additional Input'!$D$21-'State Details'!F12,'Additional Input'!$D$30+'Additional Input'!$D$21)&lt;=0,0,IF(Calculator!$D$14=TRUE,'Additional Input'!$D$30+'Additional Input'!$D$21-'State Details'!F12,'Additional Input'!$D$30+'Additional Input'!$D$21))</f>
        <v>9750000</v>
      </c>
      <c r="Q12" s="150">
        <v>0</v>
      </c>
      <c r="R12" s="13" t="s">
        <v>156</v>
      </c>
      <c r="S12" s="13" t="s">
        <v>156</v>
      </c>
      <c r="T12" s="13" t="s">
        <v>156</v>
      </c>
    </row>
    <row r="13" spans="1:24" ht="14.25" customHeight="1">
      <c r="A13" s="47" t="s">
        <v>31</v>
      </c>
      <c r="B13" s="73">
        <v>-2</v>
      </c>
      <c r="C13" s="48" t="s">
        <v>32</v>
      </c>
      <c r="D13" s="51" t="s">
        <v>15</v>
      </c>
      <c r="E13" s="340" t="s">
        <v>28</v>
      </c>
      <c r="F13" s="345">
        <v>1000000</v>
      </c>
      <c r="G13" s="341">
        <f>F13</f>
        <v>1000000</v>
      </c>
      <c r="H13" s="47" t="s">
        <v>319</v>
      </c>
      <c r="I13" s="47" t="s">
        <v>346</v>
      </c>
      <c r="J13" s="49"/>
      <c r="K13" s="142" t="s">
        <v>179</v>
      </c>
      <c r="L13" s="85">
        <f>IF(Calculator!$D$35&lt;=$F13,0,VLOOKUP(IF(Calculator!$D$10=TRUE,IF(Calculator!$D$14=TRUE,Calculator!$D$35-'State Details'!$F13,Calculator!$D$35),Calculator!$D$35),StateTaxes,2)+((IF(Calculator!$D$10=TRUE,IF(Calculator!$D$14=TRUE,Calculator!$D$35-'State Details'!$F13,Calculator!$D$35),Calculator!$D$35)-VLOOKUP(IF(Calculator!$D$10=TRUE,IF(Calculator!$D$14=TRUE,Calculator!$D$35-'State Details'!$F13,Calculator!$D$35),Calculator!$D$35),StateTaxes,1))*VLOOKUP(IF(Calculator!$D$10=TRUE,IF(Calculator!$D$14=TRUE,Calculator!$D$35-'State Details'!$F13,Calculator!$D$35),Calculator!$D$35),StateTaxes,3)))</f>
        <v>1693360</v>
      </c>
      <c r="M13" s="85">
        <f ca="1">IF(Calculator!$X$35&lt;=$G13,0,VLOOKUP(IF(Calculator!$D$10=TRUE,IF(Calculator!$D$14=TRUE,Calculator!$X$35-'State Details'!$G13,Calculator!$X$35),Calculator!$X$35),StateTaxes,2)+((IF(Calculator!$D$10=TRUE,IF(Calculator!$D$14=TRUE,Calculator!$X$35-'State Details'!$G13,Calculator!$X$35),Calculator!$X$35)-VLOOKUP(IF(Calculator!$D$10=TRUE,IF(Calculator!$D$14=TRUE,Calculator!$X$35-'State Details'!$G13,Calculator!$X$35),Calculator!$X$35),StateTaxes,1))*VLOOKUP(IF(Calculator!$D$10=TRUE,IF(Calculator!$D$14=TRUE,Calculator!$X$35-'State Details'!$G13,Calculator!$X$35),Calculator!$X$35),StateTaxes,3)))</f>
        <v>4066569.0013239062</v>
      </c>
      <c r="N13" s="49">
        <v>0</v>
      </c>
      <c r="O13" s="49">
        <v>0</v>
      </c>
      <c r="P13" s="150">
        <f>IF(IF(Calculator!$D$14=TRUE,'Additional Input'!$D$30+'Additional Input'!$D$21-'State Details'!F13,'Additional Input'!$D$30+'Additional Input'!$D$21)&lt;=0,0,IF(Calculator!$D$14=TRUE,'Additional Input'!$D$30+'Additional Input'!$D$21-'State Details'!F13,'Additional Input'!$D$30+'Additional Input'!$D$21))</f>
        <v>14000000</v>
      </c>
      <c r="Q13" s="150">
        <f ca="1">IF(IF(Calculator!$D$14=TRUE,'Additional Input'!$F$31+'Additional Input'!$D$21-'State Details'!G13,'Additional Input'!$F$31+'Additional Input'!$D$21)&lt;=0,0,IF(Calculator!$D$14=TRUE,'Additional Input'!$F$31+'Additional Input'!$D$21-'State Details'!G13,'Additional Input'!$F$31+'Additional Input'!$D$21))</f>
        <v>28748556.258274414</v>
      </c>
      <c r="R13" s="13" t="s">
        <v>156</v>
      </c>
      <c r="S13" s="13" t="s">
        <v>156</v>
      </c>
      <c r="T13" s="13" t="s">
        <v>156</v>
      </c>
    </row>
    <row r="14" spans="1:24" ht="14.25" customHeight="1">
      <c r="A14" s="47" t="s">
        <v>33</v>
      </c>
      <c r="B14" s="73">
        <v>-1</v>
      </c>
      <c r="C14" s="48" t="s">
        <v>34</v>
      </c>
      <c r="D14" s="47" t="s">
        <v>15</v>
      </c>
      <c r="E14" s="47"/>
      <c r="F14" s="82"/>
      <c r="G14" s="82"/>
      <c r="H14" s="47" t="s">
        <v>321</v>
      </c>
      <c r="I14" s="47" t="s">
        <v>346</v>
      </c>
      <c r="J14" s="49"/>
      <c r="K14" s="142"/>
      <c r="L14" s="49">
        <v>0</v>
      </c>
      <c r="M14" s="49">
        <v>0</v>
      </c>
      <c r="N14" s="49">
        <v>0</v>
      </c>
      <c r="O14" s="49">
        <v>0</v>
      </c>
      <c r="P14" s="150"/>
      <c r="Q14" s="150"/>
      <c r="R14" s="13" t="s">
        <v>156</v>
      </c>
      <c r="S14" s="13" t="s">
        <v>156</v>
      </c>
      <c r="T14" s="13" t="s">
        <v>156</v>
      </c>
    </row>
    <row r="15" spans="1:24" ht="14.25" customHeight="1">
      <c r="A15" s="47" t="s">
        <v>35</v>
      </c>
      <c r="B15" s="73">
        <v>-1</v>
      </c>
      <c r="C15" s="48" t="s">
        <v>36</v>
      </c>
      <c r="D15" s="47" t="s">
        <v>15</v>
      </c>
      <c r="E15" s="47"/>
      <c r="F15" s="82"/>
      <c r="G15" s="82"/>
      <c r="H15" s="47" t="s">
        <v>321</v>
      </c>
      <c r="I15" s="47" t="s">
        <v>346</v>
      </c>
      <c r="J15" s="49"/>
      <c r="K15" s="142"/>
      <c r="L15" s="49">
        <v>0</v>
      </c>
      <c r="M15" s="49">
        <v>0</v>
      </c>
      <c r="N15" s="49">
        <v>0</v>
      </c>
      <c r="O15" s="49">
        <v>0</v>
      </c>
      <c r="P15" s="150"/>
      <c r="Q15" s="150"/>
      <c r="R15" s="13" t="s">
        <v>156</v>
      </c>
      <c r="S15" s="13" t="s">
        <v>156</v>
      </c>
      <c r="T15" s="13" t="s">
        <v>156</v>
      </c>
      <c r="U15" s="13" t="s">
        <v>289</v>
      </c>
      <c r="V15" s="13" t="s">
        <v>289</v>
      </c>
      <c r="W15" s="13" t="s">
        <v>290</v>
      </c>
      <c r="X15" s="13" t="s">
        <v>290</v>
      </c>
    </row>
    <row r="16" spans="1:24" ht="14.25" customHeight="1">
      <c r="A16" s="47" t="s">
        <v>37</v>
      </c>
      <c r="B16" s="73">
        <v>-7</v>
      </c>
      <c r="C16" s="48" t="s">
        <v>38</v>
      </c>
      <c r="D16" s="47" t="s">
        <v>15</v>
      </c>
      <c r="E16" s="340" t="s">
        <v>28</v>
      </c>
      <c r="F16" s="86">
        <v>5250000</v>
      </c>
      <c r="G16" s="341">
        <f>Calculator!$F$29</f>
        <v>7800000</v>
      </c>
      <c r="H16" s="47" t="s">
        <v>319</v>
      </c>
      <c r="I16" s="47" t="s">
        <v>346</v>
      </c>
      <c r="J16" s="49"/>
      <c r="K16" s="142" t="s">
        <v>178</v>
      </c>
      <c r="L16" s="833">
        <f>IF(P16+Calculator!$J$14-F16&lt;=0,0,VLOOKUP(P16+Calculator!$J$14-F16,HI,3)+(P16+Calculator!$J$14-F16-VLOOKUP(P16+Calculator!$J$14-F16,HI,1))*VLOOKUP(P16+Calculator!$J$14-F16,HI,4))</f>
        <v>530000</v>
      </c>
      <c r="M16" s="833">
        <f ca="1">IF(Q16+Calculator!$J$14-G16&lt;=0,0,VLOOKUP(Q16+Calculator!$J$14-G16,HI,3)+(Q16+Calculator!$J$14-G16-VLOOKUP(Q16+Calculator!$J$14-G16,HI,1))*VLOOKUP(Q16+Calculator!$J$14-G16,HI,4))</f>
        <v>1972283.438741162</v>
      </c>
      <c r="N16" s="49">
        <v>0</v>
      </c>
      <c r="O16" s="49">
        <v>0</v>
      </c>
      <c r="P16" s="150">
        <f>IF(IF(Calculator!$D$14=TRUE,'Additional Input'!$D$30+'Additional Input'!$D$21-'State Details'!F16,'Additional Input'!$D$30+'Additional Input'!$D$21)&lt;=0,0,IF(Calculator!$D$14=TRUE,'Additional Input'!$D$30+'Additional Input'!$D$21-'State Details'!F16,'Additional Input'!$D$30+'Additional Input'!$D$21))</f>
        <v>9750000</v>
      </c>
      <c r="Q16" s="150">
        <f ca="1">IF(IF(Calculator!$D$14=TRUE,'Additional Input'!$F$31+'Additional Input'!$D$21-'State Details'!G16,'Additional Input'!$F$31+'Additional Input'!$D$21)&lt;=0,0,IF(Calculator!$D$14=TRUE,'Additional Input'!$F$31+'Additional Input'!$D$21-'State Details'!G16,'Additional Input'!$F$31+'Additional Input'!$D$21))</f>
        <v>21948556.258274414</v>
      </c>
      <c r="R16" s="13" t="s">
        <v>156</v>
      </c>
      <c r="S16" s="13" t="s">
        <v>156</v>
      </c>
      <c r="T16" s="13" t="s">
        <v>156</v>
      </c>
      <c r="U16" s="16">
        <f>IF(Calculator!$D$35&lt;=$F16,0,VLOOKUP(IF(Calculator!$D$10=TRUE,IF(Calculator!$D$14=TRUE,Calculator!$D$35-'State Details'!$F16,Calculator!$D$35),Calculator!$D$35),StateTaxes,2)+((IF(Calculator!$D$10=TRUE,IF(Calculator!$D$14=TRUE,Calculator!$D$35-'State Details'!$F16,Calculator!$D$35),Calculator!$D$35)-VLOOKUP(IF(Calculator!$D$10=TRUE,IF(Calculator!$D$14=TRUE,Calculator!$D$35-'State Details'!$F16,Calculator!$D$35),Calculator!$D$35),StateTaxes,1))*VLOOKUP(IF(Calculator!$D$10=TRUE,IF(Calculator!$D$14=TRUE,Calculator!$D$35-'State Details'!$F16,Calculator!$D$35),Calculator!$D$35),StateTaxes,3)))</f>
        <v>1016832</v>
      </c>
      <c r="V16" s="139">
        <f>IF((IF(Calculator!$D$10=TRUE,IF(Calculator!$D$14=TRUE,Calculator!$D$35-'State Details'!$F16,Calculator!$D$35),Calculator!$D$35)-$F16)*0.45&lt;0,0,(IF(Calculator!$D$10=TRUE,IF(Calculator!$D$14=TRUE,Calculator!$D$35-'State Details'!$F16,Calculator!$D$35),Calculator!$D$35)-$F16)*0.45)</f>
        <v>1987200</v>
      </c>
      <c r="W16" s="16">
        <f ca="1">IF(Calculator!$X$35&lt;=$G16,0,VLOOKUP(IF(Calculator!$D$10=TRUE,IF(Calculator!$D$14=TRUE,Calculator!$X$35-'State Details'!$G16,Calculator!$X$35),Calculator!$X$35),StateTaxes,2)+((IF(Calculator!$D$10=TRUE,IF(Calculator!$D$14=TRUE,Calculator!$X$35-'State Details'!$G16,Calculator!$X$35),Calculator!$X$35)-VLOOKUP(IF(Calculator!$D$10=TRUE,IF(Calculator!$D$14=TRUE,Calculator!$X$35-'State Details'!$G16,Calculator!$X$35),Calculator!$X$35),StateTaxes,1))*VLOOKUP(IF(Calculator!$D$10=TRUE,IF(Calculator!$D$14=TRUE,Calculator!$X$35-'State Details'!$G16,Calculator!$X$35),Calculator!$X$35),StateTaxes,3)))</f>
        <v>2978569.0013239062</v>
      </c>
      <c r="X16" s="139">
        <f ca="1">IF((IF(Calculator!$D$10=TRUE,IF(Calculator!$D$14=TRUE,Calculator!$X$35-'State Details'!$G16,Calculator!$X$35),Calculator!$X$35)-$G16)*0.45&lt;0,0,(IF(Calculator!$D$10=TRUE,IF(Calculator!$D$14=TRUE,Calculator!$X$35-'State Details'!$G16,Calculator!$X$35),Calculator!$X$35)-$G16)*0.45)</f>
        <v>6366850.3162234863</v>
      </c>
    </row>
    <row r="17" spans="1:67" ht="14.25" customHeight="1">
      <c r="A17" s="47" t="s">
        <v>39</v>
      </c>
      <c r="B17" s="73">
        <v>-1</v>
      </c>
      <c r="C17" s="48" t="s">
        <v>40</v>
      </c>
      <c r="D17" s="47" t="s">
        <v>15</v>
      </c>
      <c r="E17" s="47"/>
      <c r="F17" s="145"/>
      <c r="G17" s="145"/>
      <c r="H17" s="47" t="s">
        <v>321</v>
      </c>
      <c r="I17" s="47" t="s">
        <v>346</v>
      </c>
      <c r="J17" s="49"/>
      <c r="K17" s="142"/>
      <c r="L17" s="68">
        <v>0</v>
      </c>
      <c r="M17" s="68">
        <v>0</v>
      </c>
      <c r="N17" s="49">
        <v>0</v>
      </c>
      <c r="O17" s="49">
        <v>0</v>
      </c>
      <c r="P17" s="150"/>
      <c r="Q17" s="150"/>
      <c r="R17" s="13" t="s">
        <v>156</v>
      </c>
      <c r="S17" s="13" t="s">
        <v>156</v>
      </c>
      <c r="T17" s="13" t="s">
        <v>156</v>
      </c>
    </row>
    <row r="18" spans="1:67" ht="14.25" customHeight="1">
      <c r="A18" s="47" t="s">
        <v>41</v>
      </c>
      <c r="B18" s="73">
        <v>-3</v>
      </c>
      <c r="C18" s="48" t="s">
        <v>42</v>
      </c>
      <c r="D18" s="47" t="s">
        <v>15</v>
      </c>
      <c r="E18" s="342" t="s">
        <v>28</v>
      </c>
      <c r="F18" s="344">
        <v>4000000</v>
      </c>
      <c r="G18" s="344">
        <v>4000000</v>
      </c>
      <c r="H18" s="47" t="s">
        <v>320</v>
      </c>
      <c r="I18" s="47" t="s">
        <v>346</v>
      </c>
      <c r="J18" s="49"/>
      <c r="K18" s="143" t="s">
        <v>175</v>
      </c>
      <c r="L18" s="86">
        <f>MIN($AC$18,$AO$18)</f>
        <v>1047597.2694541552</v>
      </c>
      <c r="M18" s="86">
        <f ca="1">MIN($AZ$18,$BL$18)</f>
        <v>3091870.0411991822</v>
      </c>
      <c r="N18" s="67">
        <v>0</v>
      </c>
      <c r="O18" s="49">
        <v>0</v>
      </c>
      <c r="P18" s="150">
        <f>IF(IF(Calculator!$D$14=TRUE,'Additional Input'!$D$30+'Additional Input'!$D$21-'State Details'!F18,'Additional Input'!$D$30+'Additional Input'!$D$21)&lt;=0,0,IF(Calculator!$D$14=TRUE,'Additional Input'!$D$30+'Additional Input'!$D$21-'State Details'!F18,'Additional Input'!$D$30+'Additional Input'!$D$21))</f>
        <v>11000000</v>
      </c>
      <c r="Q18" s="150">
        <f ca="1">IF(IF(Calculator!$D$14=TRUE,'Additional Input'!$F$31+'Additional Input'!$D$21-'State Details'!G18,'Additional Input'!$F$31+'Additional Input'!$D$21)&lt;=0,0,IF(Calculator!$D$14=TRUE,'Additional Input'!$F$31+'Additional Input'!$D$21-'State Details'!G18,'Additional Input'!$F$31+'Additional Input'!$D$21))</f>
        <v>25748556.258274414</v>
      </c>
      <c r="R18" s="13" t="s">
        <v>156</v>
      </c>
      <c r="S18" s="13" t="s">
        <v>156</v>
      </c>
      <c r="T18" s="13" t="s">
        <v>156</v>
      </c>
      <c r="U18" s="85">
        <f>IF(Calculator!$D$35&lt;=$F$18,0,VLOOKUP(IF(Calculator!$D$10=TRUE,IF(Calculator!$D$14=TRUE,Calculator!$D$35-'State Details'!$F18,Calculator!$D$35),Calculator!$D$35),StateTaxes,2)+((IF(Calculator!$D$10=TRUE,IF(Calculator!$D$14=TRUE,Calculator!$D$35-'State Details'!$F18,Calculator!$D$35),Calculator!$D$35)-VLOOKUP(IF(Calculator!$D$10=TRUE,IF(Calculator!$D$14=TRUE,Calculator!$D$35-'State Details'!$F18,Calculator!$D$35),Calculator!$D$35),StateTaxes,1))*VLOOKUP(IF(Calculator!$D$10=TRUE,IF(Calculator!$D$14=TRUE,Calculator!$D$35-'State Details'!$F18,Calculator!$D$35),Calculator!$D$35),StateTaxes,3)))</f>
        <v>1213360</v>
      </c>
      <c r="V18" s="85">
        <f>IF(Calculator!$D$35&lt;=$F$18,0,VLOOKUP(IF(Calculator!$D$10=TRUE,IF(Calculator!$D$14=TRUE,Calculator!$D$35-'State Details'!$F18-U18,Calculator!$D$35-U18),Calculator!$D$35-U18),StateTaxes,2)+((IF(Calculator!$D$10=TRUE,IF(Calculator!$D$14=TRUE,Calculator!$D$35-'State Details'!$F18-U18,Calculator!$D$35-U18),Calculator!$D$35-U18)-VLOOKUP(IF(Calculator!$D$10=TRUE,IF(Calculator!$D$14=TRUE,Calculator!$D$35-'State Details'!$F18-U18,Calculator!$D$35-U18),Calculator!$D$35-U18),StateTaxes,1))*VLOOKUP(IF(Calculator!$D$10=TRUE,IF(Calculator!$D$14=TRUE,Calculator!$D$35-'State Details'!$F18-U18,Calculator!$D$35-U18),Calculator!$D$35-U18),StateTaxes,3)))</f>
        <v>1022401.28</v>
      </c>
      <c r="W18" s="85">
        <f>IF(Calculator!$D$35&lt;=$F$18,0,VLOOKUP(IF(Calculator!$D$10=TRUE,IF(Calculator!$D$14=TRUE,Calculator!$D$35-'State Details'!$F18-V18,Calculator!$D$35-V18),Calculator!$D$35-V18),StateTaxes,2)+((IF(Calculator!$D$10=TRUE,IF(Calculator!$D$14=TRUE,Calculator!$D$35-'State Details'!$F18-V18,Calculator!$D$35-V18),Calculator!$D$35-V18)-VLOOKUP(IF(Calculator!$D$10=TRUE,IF(Calculator!$D$14=TRUE,Calculator!$D$35-'State Details'!$F18-V18,Calculator!$D$35-V18),Calculator!$D$35-V18),StateTaxes,1))*VLOOKUP(IF(Calculator!$D$10=TRUE,IF(Calculator!$D$14=TRUE,Calculator!$D$35-'State Details'!$F18-V18,Calculator!$D$35-V18),Calculator!$D$35-V18),StateTaxes,3)))</f>
        <v>1051427.00544</v>
      </c>
      <c r="X18" s="85">
        <f>IF(Calculator!$D$35&lt;=$F$18,0,VLOOKUP(IF(Calculator!$D$10=TRUE,IF(Calculator!$D$14=TRUE,Calculator!$D$35-'State Details'!$F18-W18,Calculator!$D$35-W18),Calculator!$D$35-W18),StateTaxes,2)+((IF(Calculator!$D$10=TRUE,IF(Calculator!$D$14=TRUE,Calculator!$D$35-'State Details'!$F18-W18,Calculator!$D$35-W18),Calculator!$D$35-W18)-VLOOKUP(IF(Calculator!$D$10=TRUE,IF(Calculator!$D$14=TRUE,Calculator!$D$35-'State Details'!$F18-W18,Calculator!$D$35-W18),Calculator!$D$35-W18),StateTaxes,1))*VLOOKUP(IF(Calculator!$D$10=TRUE,IF(Calculator!$D$14=TRUE,Calculator!$D$35-'State Details'!$F18-W18,Calculator!$D$35-W18),Calculator!$D$35-W18),StateTaxes,3)))</f>
        <v>1047015.0951731199</v>
      </c>
      <c r="Y18" s="85">
        <f>IF(Calculator!$D$35&lt;=$F$18,0,VLOOKUP(IF(Calculator!$D$10=TRUE,IF(Calculator!$D$14=TRUE,Calculator!$D$35-'State Details'!$F18-X18,Calculator!$D$35-X18),Calculator!$D$35-X18),StateTaxes,2)+((IF(Calculator!$D$10=TRUE,IF(Calculator!$D$14=TRUE,Calculator!$D$35-'State Details'!$F18-X18,Calculator!$D$35-X18),Calculator!$D$35-X18)-VLOOKUP(IF(Calculator!$D$10=TRUE,IF(Calculator!$D$14=TRUE,Calculator!$D$35-'State Details'!$F18-X18,Calculator!$D$35-X18),Calculator!$D$35-X18),StateTaxes,1))*VLOOKUP(IF(Calculator!$D$10=TRUE,IF(Calculator!$D$14=TRUE,Calculator!$D$35-'State Details'!$F18-X18,Calculator!$D$35-X18),Calculator!$D$35-X18),StateTaxes,3)))</f>
        <v>1047685.7055336856</v>
      </c>
      <c r="Z18" s="85">
        <f>IF(Calculator!$D$35&lt;=$F$18,0,VLOOKUP(IF(Calculator!$D$10=TRUE,IF(Calculator!$D$14=TRUE,Calculator!$D$35-'State Details'!$F18-Y18,Calculator!$D$35-Y18),Calculator!$D$35-Y18),StateTaxes,2)+((IF(Calculator!$D$10=TRUE,IF(Calculator!$D$14=TRUE,Calculator!$D$35-'State Details'!$F18-Y18,Calculator!$D$35-Y18),Calculator!$D$35-Y18)-VLOOKUP(IF(Calculator!$D$10=TRUE,IF(Calculator!$D$14=TRUE,Calculator!$D$35-'State Details'!$F18-Y18,Calculator!$D$35-Y18),Calculator!$D$35-Y18),StateTaxes,1))*VLOOKUP(IF(Calculator!$D$10=TRUE,IF(Calculator!$D$14=TRUE,Calculator!$D$35-'State Details'!$F18-Y18,Calculator!$D$35-Y18),Calculator!$D$35-Y18),StateTaxes,3)))</f>
        <v>1047583.7727588798</v>
      </c>
      <c r="AA18" s="85">
        <f>IF(Calculator!$D$35&lt;=$F$18,0,VLOOKUP(IF(Calculator!$D$10=TRUE,IF(Calculator!$D$14=TRUE,Calculator!$D$35-'State Details'!$F18-Z18,Calculator!$D$35-Z18),Calculator!$D$35-Z18),StateTaxes,2)+((IF(Calculator!$D$10=TRUE,IF(Calculator!$D$14=TRUE,Calculator!$D$35-'State Details'!$F18-Z18,Calculator!$D$35-Z18),Calculator!$D$35-Z18)-VLOOKUP(IF(Calculator!$D$10=TRUE,IF(Calculator!$D$14=TRUE,Calculator!$D$35-'State Details'!$F18-Z18,Calculator!$D$35-Z18),Calculator!$D$35-Z18),StateTaxes,1))*VLOOKUP(IF(Calculator!$D$10=TRUE,IF(Calculator!$D$14=TRUE,Calculator!$D$35-'State Details'!$F18-Z18,Calculator!$D$35-Z18),Calculator!$D$35-Z18),StateTaxes,3)))</f>
        <v>1047599.2665406502</v>
      </c>
      <c r="AB18" s="85">
        <f>IF(Calculator!$D$35&lt;=$F$18,0,VLOOKUP(IF(Calculator!$D$10=TRUE,IF(Calculator!$D$14=TRUE,Calculator!$D$35-'State Details'!$F18-AA18,Calculator!$D$35-AA18),Calculator!$D$35-AA18),StateTaxes,2)+((IF(Calculator!$D$10=TRUE,IF(Calculator!$D$14=TRUE,Calculator!$D$35-'State Details'!$F18-AA18,Calculator!$D$35-AA18),Calculator!$D$35-AA18)-VLOOKUP(IF(Calculator!$D$10=TRUE,IF(Calculator!$D$14=TRUE,Calculator!$D$35-'State Details'!$F18-AA18,Calculator!$D$35-AA18),Calculator!$D$35-AA18),StateTaxes,1))*VLOOKUP(IF(Calculator!$D$10=TRUE,IF(Calculator!$D$14=TRUE,Calculator!$D$35-'State Details'!$F18-AA18,Calculator!$D$35-AA18),Calculator!$D$35-AA18),StateTaxes,3)))</f>
        <v>1047596.9114858211</v>
      </c>
      <c r="AC18" s="85">
        <f>IF(Calculator!$D$35&lt;=$F$18,0,VLOOKUP(IF(Calculator!$D$10=TRUE,IF(Calculator!$D$14=TRUE,Calculator!$D$35-'State Details'!$F18-AB18,Calculator!$D$35-AB18),Calculator!$D$35-AB18),StateTaxes,2)+((IF(Calculator!$D$10=TRUE,IF(Calculator!$D$14=TRUE,Calculator!$D$35-'State Details'!$F18-AB18,Calculator!$D$35-AB18),Calculator!$D$35-AB18)-VLOOKUP(IF(Calculator!$D$10=TRUE,IF(Calculator!$D$14=TRUE,Calculator!$D$35-'State Details'!$F18-AB18,Calculator!$D$35-AB18),Calculator!$D$35-AB18),StateTaxes,1))*VLOOKUP(IF(Calculator!$D$10=TRUE,IF(Calculator!$D$14=TRUE,Calculator!$D$35-'State Details'!$F18-AB18,Calculator!$D$35-AB18),Calculator!$D$35-AB18),StateTaxes,3)))</f>
        <v>1047597.2694541552</v>
      </c>
      <c r="AD18" s="88">
        <f>IF((IF(Calculator!$D$10=TRUE,IF(Calculator!$D$14=TRUE,Calculator!$D$35-'State Details'!$F18,Calculator!$D$35),Calculator!$D$35)-$F$18-AC18)*$AD$19&lt;0,0,(IF(Calculator!$D$10=TRUE,IF(Calculator!$D$14=TRUE,Calculator!$D$35-'State Details'!$F18,Calculator!$D$35),Calculator!$D$35)-$F$18-AC18)*$AD$19)</f>
        <v>2347361.092218338</v>
      </c>
      <c r="AE18" s="88">
        <f>IF((IF(Calculator!$D$10=TRUE,IF(Calculator!$D$14=TRUE,Calculator!$D$35-'State Details'!$F18,Calculator!$D$35),Calculator!$D$35)-$F$18-AD18)*$AD$19&lt;0,0,(IF(Calculator!$D$10=TRUE,IF(Calculator!$D$14=TRUE,Calculator!$D$35-'State Details'!$F18,Calculator!$D$35),Calculator!$D$35)-$F$18-AD18)*$AD$19)</f>
        <v>1827455.563112665</v>
      </c>
      <c r="AF18" s="88">
        <f>IF((IF(Calculator!$D$10=TRUE,IF(Calculator!$D$14=TRUE,Calculator!$D$35-'State Details'!$F18,Calculator!$D$35),Calculator!$D$35)-$F$18-AE18)*$AD$19&lt;0,0,(IF(Calculator!$D$10=TRUE,IF(Calculator!$D$14=TRUE,Calculator!$D$35-'State Details'!$F18,Calculator!$D$35),Calculator!$D$35)-$F$18-AE18)*$AD$19)</f>
        <v>2035417.774754934</v>
      </c>
      <c r="AG18" s="88">
        <f>IF((IF(Calculator!$D$10=TRUE,IF(Calculator!$D$14=TRUE,Calculator!$D$35-'State Details'!$F18,Calculator!$D$35),Calculator!$D$35)-$F$18-AF18)*$AD$19&lt;0,0,(IF(Calculator!$D$10=TRUE,IF(Calculator!$D$14=TRUE,Calculator!$D$35-'State Details'!$F18,Calculator!$D$35),Calculator!$D$35)-$F$18-AF18)*$AD$19)</f>
        <v>1952232.8900980265</v>
      </c>
      <c r="AH18" s="88">
        <f>IF((IF(Calculator!$D$10=TRUE,IF(Calculator!$D$14=TRUE,Calculator!$D$35-'State Details'!$F18,Calculator!$D$35),Calculator!$D$35)-$F$18-AG18)*$AD$19&lt;0,0,(IF(Calculator!$D$10=TRUE,IF(Calculator!$D$14=TRUE,Calculator!$D$35-'State Details'!$F18,Calculator!$D$35),Calculator!$D$35)-$F$18-AG18)*$AD$19)</f>
        <v>1985506.8439607897</v>
      </c>
      <c r="AI18" s="88">
        <f>IF((IF(Calculator!$D$10=TRUE,IF(Calculator!$D$14=TRUE,Calculator!$D$35-'State Details'!$F18,Calculator!$D$35),Calculator!$D$35)-$F$18-AH18)*$AD$19&lt;0,0,(IF(Calculator!$D$10=TRUE,IF(Calculator!$D$14=TRUE,Calculator!$D$35-'State Details'!$F18,Calculator!$D$35),Calculator!$D$35)-$F$18-AH18)*$AD$19)</f>
        <v>1972197.2624156841</v>
      </c>
      <c r="AJ18" s="88">
        <f>IF((IF(Calculator!$D$10=TRUE,IF(Calculator!$D$14=TRUE,Calculator!$D$35-'State Details'!$F18,Calculator!$D$35),Calculator!$D$35)-$F$18-AI18)*$AD$19&lt;0,0,(IF(Calculator!$D$10=TRUE,IF(Calculator!$D$14=TRUE,Calculator!$D$35-'State Details'!$F18,Calculator!$D$35),Calculator!$D$35)-$F$18-AI18)*$AD$19)</f>
        <v>1977521.0950337267</v>
      </c>
      <c r="AK18" s="88">
        <f>IF((IF(Calculator!$D$10=TRUE,IF(Calculator!$D$14=TRUE,Calculator!$D$35-'State Details'!$F18,Calculator!$D$35),Calculator!$D$35)-$F$18-AJ18)*$AD$19&lt;0,0,(IF(Calculator!$D$10=TRUE,IF(Calculator!$D$14=TRUE,Calculator!$D$35-'State Details'!$F18,Calculator!$D$35),Calculator!$D$35)-$F$18-AJ18)*$AD$19)</f>
        <v>1975391.5619865095</v>
      </c>
      <c r="AL18" s="88">
        <f>IF((IF(Calculator!$D$10=TRUE,IF(Calculator!$D$14=TRUE,Calculator!$D$35-'State Details'!$F18,Calculator!$D$35),Calculator!$D$35)-$F$18-AK18)*$AD$19&lt;0,0,(IF(Calculator!$D$10=TRUE,IF(Calculator!$D$14=TRUE,Calculator!$D$35-'State Details'!$F18,Calculator!$D$35),Calculator!$D$35)-$F$18-AK18)*$AD$19)</f>
        <v>1976243.3752053962</v>
      </c>
      <c r="AM18" s="88">
        <f>IF((IF(Calculator!$D$10=TRUE,IF(Calculator!$D$14=TRUE,Calculator!$D$35-'State Details'!$F18,Calculator!$D$35),Calculator!$D$35)-$F$18-AL18)*$AD$19&lt;0,0,(IF(Calculator!$D$10=TRUE,IF(Calculator!$D$14=TRUE,Calculator!$D$35-'State Details'!$F18,Calculator!$D$35),Calculator!$D$35)-$F$18-AL18)*$AD$19)</f>
        <v>1975902.6499178419</v>
      </c>
      <c r="AN18" s="88">
        <f>IF((IF(Calculator!$D$10=TRUE,IF(Calculator!$D$14=TRUE,Calculator!$D$35-'State Details'!$F18,Calculator!$D$35),Calculator!$D$35)-$F$18-AM18)*$AD$19&lt;0,0,(IF(Calculator!$D$10=TRUE,IF(Calculator!$D$14=TRUE,Calculator!$D$35-'State Details'!$F18,Calculator!$D$35),Calculator!$D$35)-$F$18-AM18)*$AD$19)</f>
        <v>1976038.9400328633</v>
      </c>
      <c r="AO18" s="88">
        <f>IF((IF(Calculator!$D$10=TRUE,IF(Calculator!$D$14=TRUE,Calculator!$D$35-'State Details'!$F18,Calculator!$D$35),Calculator!$D$35)-$F$18-AN18)*$AD$19&lt;0,0,(IF(Calculator!$D$10=TRUE,IF(Calculator!$D$14=TRUE,Calculator!$D$35-'State Details'!$F18,Calculator!$D$35),Calculator!$D$35)-$F$18-AN18)*$AD$19)</f>
        <v>1975984.423986855</v>
      </c>
      <c r="AP18" s="66">
        <f>MIN($AC$18,$AO$18)</f>
        <v>1047597.2694541552</v>
      </c>
      <c r="AQ18" s="65"/>
      <c r="AR18" s="85">
        <f ca="1">IF(Calculator!$X$35&lt;=$G$18,0,VLOOKUP(IF(Calculator!$D$10=TRUE,IF(Calculator!$D$14=TRUE,Calculator!$J$35-'State Details'!$G18,Calculator!$J$35),Calculator!$J$35),StateTaxes,2)+((IF(Calculator!$D$10=TRUE,IF(Calculator!$D$14=TRUE,Calculator!$J$35-'State Details'!$G18,Calculator!$J$35),Calculator!$J$35)-VLOOKUP(IF(Calculator!$D$10=TRUE,IF(Calculator!$D$14=TRUE,Calculator!$J$35-'State Details'!$G18,Calculator!$J$35),Calculator!$J$35),StateTaxes,1))*VLOOKUP(IF(Calculator!$D$10=TRUE,IF(Calculator!$D$14=TRUE,Calculator!$J$35-'State Details'!$G18,Calculator!$J$35),Calculator!$J$35),StateTaxes,3)))</f>
        <v>3586569.0013239062</v>
      </c>
      <c r="AS18" s="85">
        <f ca="1">IF(Calculator!$J$35&lt;=$G$18,0,VLOOKUP(IF(Calculator!$D$10=TRUE,IF(Calculator!$D$14=TRUE,Calculator!$J$35-'State Details'!$G18-AR18,Calculator!$J$35-AR18),Calculator!$J$35-AR18),StateTaxes,2)+((IF(Calculator!$D$10=TRUE,IF(Calculator!$D$14=TRUE,Calculator!$J$35-'State Details'!$G18-AR18,Calculator!$J$35-AR18),Calculator!$J$35-AR18)-VLOOKUP(IF(Calculator!$D$10=TRUE,IF(Calculator!$D$14=TRUE,Calculator!$J$35-'State Details'!$G18-AR18,Calculator!$J$35-AR18),Calculator!$J$35-AR18),StateTaxes,1))*VLOOKUP(IF(Calculator!$D$10=TRUE,IF(Calculator!$D$14=TRUE,Calculator!$J$35-'State Details'!$G18-AR18,Calculator!$J$35-AR18),Calculator!$J$35-AR18),StateTaxes,3)))</f>
        <v>3012717.9611120815</v>
      </c>
      <c r="AT18" s="85">
        <f ca="1">IF(Calculator!$J$35&lt;=$G$18,0,VLOOKUP(IF(Calculator!$D$10=TRUE,IF(Calculator!$D$14=TRUE,Calculator!$J$35-'State Details'!$G18-AS18,Calculator!$J$35-AS18),Calculator!$J$35-AS18),StateTaxes,2)+((IF(Calculator!$D$10=TRUE,IF(Calculator!$D$14=TRUE,Calculator!$J$35-'State Details'!$G18-AS18,Calculator!$J$35-AS18),Calculator!$J$35-AS18)-VLOOKUP(IF(Calculator!$D$10=TRUE,IF(Calculator!$D$14=TRUE,Calculator!$J$35-'State Details'!$G18-AS18,Calculator!$J$35-AS18),Calculator!$J$35-AS18),StateTaxes,1))*VLOOKUP(IF(Calculator!$D$10=TRUE,IF(Calculator!$D$14=TRUE,Calculator!$J$35-'State Details'!$G18-AS18,Calculator!$J$35-AS18),Calculator!$J$35-AS18),StateTaxes,3)))</f>
        <v>3104534.1275459733</v>
      </c>
      <c r="AU18" s="85">
        <f ca="1">IF(Calculator!$J$35&lt;=$G$18,0,VLOOKUP(IF(Calculator!$D$10=TRUE,IF(Calculator!$D$14=TRUE,Calculator!$J$35-'State Details'!$G18-AT18,Calculator!$J$35-AT18),Calculator!$J$35-AT18),StateTaxes,2)+((IF(Calculator!$D$10=TRUE,IF(Calculator!$D$14=TRUE,Calculator!$J$35-'State Details'!$G18-AT18,Calculator!$J$35-AT18),Calculator!$J$35-AT18)-VLOOKUP(IF(Calculator!$D$10=TRUE,IF(Calculator!$D$14=TRUE,Calculator!$J$35-'State Details'!$G18-AT18,Calculator!$J$35-AT18),Calculator!$J$35-AT18),StateTaxes,1))*VLOOKUP(IF(Calculator!$D$10=TRUE,IF(Calculator!$D$14=TRUE,Calculator!$J$35-'State Details'!$G18-AT18,Calculator!$J$35-AT18),Calculator!$J$35-AT18),StateTaxes,3)))</f>
        <v>3089843.54091655</v>
      </c>
      <c r="AV18" s="85">
        <f ca="1">IF(Calculator!$J$35&lt;=$G$18,0,VLOOKUP(IF(Calculator!$D$10=TRUE,IF(Calculator!$D$14=TRUE,Calculator!$J$35-'State Details'!$G18-AU18,Calculator!$J$35-AU18),Calculator!$J$35-AU18),StateTaxes,2)+((IF(Calculator!$D$10=TRUE,IF(Calculator!$D$14=TRUE,Calculator!$J$35-'State Details'!$G18-AU18,Calculator!$J$35-AU18),Calculator!$J$35-AU18)-VLOOKUP(IF(Calculator!$D$10=TRUE,IF(Calculator!$D$14=TRUE,Calculator!$J$35-'State Details'!$G18-AU18,Calculator!$J$35-AU18),Calculator!$J$35-AU18),StateTaxes,1))*VLOOKUP(IF(Calculator!$D$10=TRUE,IF(Calculator!$D$14=TRUE,Calculator!$J$35-'State Details'!$G18-AU18,Calculator!$J$35-AU18),Calculator!$J$35-AU18),StateTaxes,3)))</f>
        <v>3092194.0347772581</v>
      </c>
      <c r="AW18" s="85">
        <f ca="1">IF(Calculator!$J$35&lt;=$G$18,0,VLOOKUP(IF(Calculator!$D$10=TRUE,IF(Calculator!$D$14=TRUE,Calculator!$J$35-'State Details'!$G18-AV18,Calculator!$J$35-AV18),Calculator!$J$35-AV18),StateTaxes,2)+((IF(Calculator!$D$10=TRUE,IF(Calculator!$D$14=TRUE,Calculator!$J$35-'State Details'!$G18-AV18,Calculator!$J$35-AV18),Calculator!$J$35-AV18)-VLOOKUP(IF(Calculator!$D$10=TRUE,IF(Calculator!$D$14=TRUE,Calculator!$J$35-'State Details'!$G18-AV18,Calculator!$J$35-AV18),Calculator!$J$35-AV18),StateTaxes,1))*VLOOKUP(IF(Calculator!$D$10=TRUE,IF(Calculator!$D$14=TRUE,Calculator!$J$35-'State Details'!$G18-AV18,Calculator!$J$35-AV18),Calculator!$J$35-AV18),StateTaxes,3)))</f>
        <v>3091817.9557595449</v>
      </c>
      <c r="AX18" s="85">
        <f ca="1">IF(Calculator!$J$35&lt;=$G$18,0,VLOOKUP(IF(Calculator!$D$10=TRUE,IF(Calculator!$D$14=TRUE,Calculator!$J$35-'State Details'!$G18-AW18,Calculator!$J$35-AW18),Calculator!$J$35-AW18),StateTaxes,2)+((IF(Calculator!$D$10=TRUE,IF(Calculator!$D$14=TRUE,Calculator!$J$35-'State Details'!$G18-AW18,Calculator!$J$35-AW18),Calculator!$J$35-AW18)-VLOOKUP(IF(Calculator!$D$10=TRUE,IF(Calculator!$D$14=TRUE,Calculator!$J$35-'State Details'!$G18-AW18,Calculator!$J$35-AW18),Calculator!$J$35-AW18),StateTaxes,1))*VLOOKUP(IF(Calculator!$D$10=TRUE,IF(Calculator!$D$14=TRUE,Calculator!$J$35-'State Details'!$G18-AW18,Calculator!$J$35-AW18),Calculator!$J$35-AW18),StateTaxes,3)))</f>
        <v>3091878.1284023793</v>
      </c>
      <c r="AY18" s="85">
        <f ca="1">IF(Calculator!$J$35&lt;=$G$18,0,VLOOKUP(IF(Calculator!$D$10=TRUE,IF(Calculator!$D$14=TRUE,Calculator!$J$35-'State Details'!$G18-AX18,Calculator!$J$35-AX18),Calculator!$J$35-AX18),StateTaxes,2)+((IF(Calculator!$D$10=TRUE,IF(Calculator!$D$14=TRUE,Calculator!$J$35-'State Details'!$G18-AX18,Calculator!$J$35-AX18),Calculator!$J$35-AX18)-VLOOKUP(IF(Calculator!$D$10=TRUE,IF(Calculator!$D$14=TRUE,Calculator!$J$35-'State Details'!$G18-AX18,Calculator!$J$35-AX18),Calculator!$J$35-AX18),StateTaxes,1))*VLOOKUP(IF(Calculator!$D$10=TRUE,IF(Calculator!$D$14=TRUE,Calculator!$J$35-'State Details'!$G18-AX18,Calculator!$J$35-AX18),Calculator!$J$35-AX18),StateTaxes,3)))</f>
        <v>3091868.5007795254</v>
      </c>
      <c r="AZ18" s="85">
        <f ca="1">IF(Calculator!$J$35&lt;=$G$18,0,VLOOKUP(IF(Calculator!$D$10=TRUE,IF(Calculator!$D$14=TRUE,Calculator!$J$35-'State Details'!$G18-AY18,Calculator!$J$35-AY18),Calculator!$J$35-AY18),StateTaxes,2)+((IF(Calculator!$D$10=TRUE,IF(Calculator!$D$14=TRUE,Calculator!$J$35-'State Details'!$G18-AY18,Calculator!$J$35-AY18),Calculator!$J$35-AY18)-VLOOKUP(IF(Calculator!$D$10=TRUE,IF(Calculator!$D$14=TRUE,Calculator!$J$35-'State Details'!$G18-AY18,Calculator!$J$35-AY18),Calculator!$J$35-AY18),StateTaxes,1))*VLOOKUP(IF(Calculator!$D$10=TRUE,IF(Calculator!$D$14=TRUE,Calculator!$J$35-'State Details'!$G18-AY18,Calculator!$J$35-AY18),Calculator!$J$35-AY18),StateTaxes,3)))</f>
        <v>3091870.0411991822</v>
      </c>
      <c r="BA18" s="88">
        <f ca="1">IF((IF(Calculator!$D$10=TRUE,IF(Calculator!$D$14=TRUE,Calculator!$J$35-'State Details'!$G18,Calculator!$J$35),Calculator!$J$35)-$G$18-AZ18)*Calculator!$D$30&lt;0,0,(IF(Calculator!$D$10=TRUE,IF(Calculator!$D$14=TRUE,Calculator!$J$35-'State Details'!$G18,Calculator!$J$35),Calculator!$J$35)-$G$18-AZ18)*$BA$19)</f>
        <v>7462674.486830093</v>
      </c>
      <c r="BB18" s="88">
        <f ca="1">IF((IF(Calculator!$D$10=TRUE,IF(Calculator!$D$14=TRUE,Calculator!$J$35-'State Details'!$G18,Calculator!$J$35),Calculator!$J$35)-$G$18-BA18)*$BA$19&lt;0,0,(IF(Calculator!$D$10=TRUE,IF(Calculator!$D$14=TRUE,Calculator!$J$35-'State Details'!$G$18,Calculator!$J$35),Calculator!$J$35)-$G$18-BA18)*$BA$19)</f>
        <v>5714352.7085777288</v>
      </c>
      <c r="BC18" s="88">
        <f ca="1">IF((IF(Calculator!$D$10=TRUE,IF(Calculator!$D$14=TRUE,Calculator!$J$35-'State Details'!$G18,Calculator!$J$35),Calculator!$J$35)-$G$18-BB18)*$BA$19&lt;0,0,(IF(Calculator!$D$10=TRUE,IF(Calculator!$D$14=TRUE,Calculator!$J$35-'State Details'!$G$18,Calculator!$J$35),Calculator!$J$35)-$G$18-BB18)*$BA$19)</f>
        <v>6413681.4198786737</v>
      </c>
      <c r="BD18" s="88">
        <f ca="1">IF((IF(Calculator!$D$10=TRUE,IF(Calculator!$D$14=TRUE,Calculator!$J$35-'State Details'!$G18,Calculator!$J$35),Calculator!$J$35)-$G$18-BC18)*$BA$19&lt;0,0,(IF(Calculator!$D$10=TRUE,IF(Calculator!$D$14=TRUE,Calculator!$J$35-'State Details'!$G$18,Calculator!$J$35),Calculator!$J$35)-$G$18-BC18)*$BA$19)</f>
        <v>6133949.9353582971</v>
      </c>
      <c r="BE18" s="88">
        <f ca="1">IF((IF(Calculator!$D$10=TRUE,IF(Calculator!$D$14=TRUE,Calculator!$J$35-'State Details'!$G18,Calculator!$J$35),Calculator!$J$35)-$G$18-BD18)*$BA$19&lt;0,0,(IF(Calculator!$D$10=TRUE,IF(Calculator!$D$14=TRUE,Calculator!$J$35-'State Details'!$G$18,Calculator!$J$35),Calculator!$J$35)-$G$18-BD18)*$BA$19)</f>
        <v>6245842.529166447</v>
      </c>
      <c r="BF18" s="88">
        <f ca="1">IF((IF(Calculator!$D$10=TRUE,IF(Calculator!$D$14=TRUE,Calculator!$J$35-'State Details'!$G18,Calculator!$J$35),Calculator!$J$35)-$G$18-BE18)*$BA$19&lt;0,0,(IF(Calculator!$D$10=TRUE,IF(Calculator!$D$14=TRUE,Calculator!$J$35-'State Details'!$G$18,Calculator!$J$35),Calculator!$J$35)-$G$18-BE18)*$BA$19)</f>
        <v>6201085.4916431867</v>
      </c>
      <c r="BG18" s="88">
        <f ca="1">IF((IF(Calculator!$D$10=TRUE,IF(Calculator!$D$14=TRUE,Calculator!$J$35-'State Details'!$G18,Calculator!$J$35),Calculator!$J$35)-$G$18-BF18)*$BA$19&lt;0,0,(IF(Calculator!$D$10=TRUE,IF(Calculator!$D$14=TRUE,Calculator!$J$35-'State Details'!$G$18,Calculator!$J$35),Calculator!$J$35)-$G$18-BF18)*$BA$19)</f>
        <v>6218988.306652491</v>
      </c>
      <c r="BH18" s="88">
        <f ca="1">IF((IF(Calculator!$D$10=TRUE,IF(Calculator!$D$14=TRUE,Calculator!$J$35-'State Details'!$G18,Calculator!$J$35),Calculator!$J$35)-$G$18-BG18)*$BA$19&lt;0,0,(IF(Calculator!$D$10=TRUE,IF(Calculator!$D$14=TRUE,Calculator!$J$35-'State Details'!$G$18,Calculator!$J$35),Calculator!$J$35)-$G$18-BG18)*$BA$19)</f>
        <v>6211827.1806487702</v>
      </c>
      <c r="BI18" s="88">
        <f ca="1">IF((IF(Calculator!$D$10=TRUE,IF(Calculator!$D$14=TRUE,Calculator!$J$35-'State Details'!$G18,Calculator!$J$35),Calculator!$J$35)-$G$18-BH18)*$BA$19&lt;0,0,(IF(Calculator!$D$10=TRUE,IF(Calculator!$D$14=TRUE,Calculator!$J$35-'State Details'!$G$18,Calculator!$J$35),Calculator!$J$35)-$G$18-BH18)*$BA$19)</f>
        <v>6214691.6310502579</v>
      </c>
      <c r="BJ18" s="88">
        <f ca="1">IF((IF(Calculator!$D$10=TRUE,IF(Calculator!$D$14=TRUE,Calculator!$J$35-'State Details'!$G18,Calculator!$J$35),Calculator!$J$35)-$G$18-BI18)*$BA$19&lt;0,0,(IF(Calculator!$D$10=TRUE,IF(Calculator!$D$14=TRUE,Calculator!$J$35-'State Details'!$G$18,Calculator!$J$35),Calculator!$J$35)-$G$18-BI18)*$BA$19)</f>
        <v>6213545.8508896623</v>
      </c>
      <c r="BK18" s="88">
        <f ca="1">IF((IF(Calculator!$D$10=TRUE,IF(Calculator!$D$14=TRUE,Calculator!$J$35-'State Details'!$G18,Calculator!$J$35),Calculator!$J$35)-$G$18-BJ18)*$BA$19&lt;0,0,(IF(Calculator!$D$10=TRUE,IF(Calculator!$D$14=TRUE,Calculator!$J$35-'State Details'!$G$18,Calculator!$J$35),Calculator!$J$35)-$G$18-BJ18)*$BA$19)</f>
        <v>6214004.1629539011</v>
      </c>
      <c r="BL18" s="88">
        <f ca="1">IF((IF(Calculator!$D$10=TRUE,IF(Calculator!$D$14=TRUE,Calculator!$J$35-'State Details'!$G18,Calculator!$J$35),Calculator!$J$35)-$G$18-BK18)*$BA$19&lt;0,0,(IF(Calculator!$D$10=TRUE,IF(Calculator!$D$14=TRUE,Calculator!$J$35-'State Details'!$G$18,Calculator!$J$35),Calculator!$J$35)-$G$18-BK18)*$BA$19)</f>
        <v>6213820.8381282054</v>
      </c>
      <c r="BM18" s="66">
        <f ca="1">MIN($AZ$18,$BL$18)</f>
        <v>3091870.0411991822</v>
      </c>
    </row>
    <row r="19" spans="1:67" ht="14.25" customHeight="1">
      <c r="A19" s="47" t="s">
        <v>43</v>
      </c>
      <c r="B19" s="75" t="str">
        <f>"1,3,5,7"</f>
        <v>1,3,5,7</v>
      </c>
      <c r="C19" s="48" t="s">
        <v>44</v>
      </c>
      <c r="D19" s="47" t="s">
        <v>15</v>
      </c>
      <c r="F19" s="446">
        <f>VLOOKUP('Additional Input'!$N$13,INtable,2)</f>
        <v>0.9</v>
      </c>
      <c r="G19" s="446">
        <f>VLOOKUP(Calculator!J34,INtable,2)</f>
        <v>1.3877787807814457E-16</v>
      </c>
      <c r="H19" s="47" t="s">
        <v>320</v>
      </c>
      <c r="I19" s="340" t="s">
        <v>28</v>
      </c>
      <c r="J19" s="50">
        <f>IF(Calculator!$D$15=1,250000,IF(Calculator!$D$15=2,500,100))*$G$91</f>
        <v>250000</v>
      </c>
      <c r="K19" s="142" t="s">
        <v>180</v>
      </c>
      <c r="L19" s="53">
        <v>0</v>
      </c>
      <c r="M19" s="53">
        <v>0</v>
      </c>
      <c r="N19" s="85">
        <f>IF(Calculator!$D$35&lt;=$J19,0,IF(Calculator!$D$15=1,VLOOKUP(Calculator!$D$35+Calculator!$J$14-'State Details'!$J$19,IN,3)+(((Calculator!$D$35+Calculator!$J$14-'State Details'!$J$19)-VLOOKUP(Calculator!$D$35+Calculator!$J$14-'State Details'!$J$19,IN,1))*VLOOKUP(Calculator!$D$35+Calculator!$J$14-'State Details'!$J$19,IN,4)),IF(Calculator!$D$15=2,VLOOKUP(Calculator!$D$35+Calculator!$J$14-'State Details'!$J$19,IN,5)+(((Calculator!$D$35+Calculator!$J$14-'State Details'!$J$19)-VLOOKUP(Calculator!$D$35+Calculator!$J$14-'State Details'!$J$19,IN,1))*VLOOKUP(Calculator!$D$35+Calculator!$J$14-'State Details'!$J$19,IN,6)),VLOOKUP(Calculator!$D$35+Calculator!$J$14-'State Details'!$J$19,IN,7)+(((Calculator!$D$35+Calculator!$J$14-'State Details'!$J$19)-VLOOKUP(Calculator!$D$35+Calculator!$J$14-'State Details'!$J$19,IN,1))*VLOOKUP(Calculator!$D$35+Calculator!$J$14-'State Details'!$J$19,IN,8)))))*$F$19</f>
        <v>1267965</v>
      </c>
      <c r="O19" s="85">
        <f ca="1">IF(Calculator!$X$35&lt;=$J19,0,IF(Calculator!$D$15=1,VLOOKUP(Calculator!$X$35+Calculator!$J$14-'State Details'!$J$19,IN,3)+(((Calculator!$X$35+Calculator!$J$14-'State Details'!$J$19)-VLOOKUP(Calculator!$X$35+Calculator!$J$14-'State Details'!$J$19,IN,1))*VLOOKUP(Calculator!$X$35+Calculator!$J$14-'State Details'!$J$19,IN,4)),IF(Calculator!$D$15=2,VLOOKUP(Calculator!$X$35+Calculator!$J$14-'State Details'!$J$19,IN,5)+(((Calculator!$X$35+Calculator!$J$14-'State Details'!$J$19)-VLOOKUP(Calculator!$X$35+Calculator!$J$14-'State Details'!$J$19,IN,1))*VLOOKUP(Calculator!$X$35+Calculator!$J$14-'State Details'!$J$19,IN,6)),VLOOKUP(Calculator!$X$35+Calculator!$J$14-'State Details'!$J$19,IN,7)+(((Calculator!$X$35+Calculator!$J$14-'State Details'!$J$19)-VLOOKUP(Calculator!$X$35+Calculator!$J$14-'State Details'!$J$19,IN,1))*VLOOKUP(Calculator!$X$35+Calculator!$J$14-'State Details'!$J$19,IN,8)))))*$G$19</f>
        <v>4.0136028193019665E-10</v>
      </c>
      <c r="P19" s="154"/>
      <c r="Q19" s="154"/>
      <c r="R19" s="836" t="s">
        <v>500</v>
      </c>
      <c r="S19" s="89" t="s">
        <v>160</v>
      </c>
      <c r="T19" s="89" t="s">
        <v>118</v>
      </c>
      <c r="U19" s="13" t="s">
        <v>197</v>
      </c>
      <c r="AD19" s="175">
        <f>Calculator!$D$30</f>
        <v>0.4</v>
      </c>
      <c r="AE19" s="176" t="s">
        <v>291</v>
      </c>
      <c r="AR19" s="13" t="s">
        <v>198</v>
      </c>
      <c r="BA19" s="175">
        <f>Calculator!$D$30</f>
        <v>0.4</v>
      </c>
      <c r="BB19" s="176" t="s">
        <v>291</v>
      </c>
    </row>
    <row r="20" spans="1:67" ht="14.25" customHeight="1">
      <c r="A20" s="47" t="s">
        <v>45</v>
      </c>
      <c r="B20" s="75" t="str">
        <f>1&amp;","&amp;3&amp;","&amp;7</f>
        <v>1,3,7</v>
      </c>
      <c r="C20" s="48" t="s">
        <v>46</v>
      </c>
      <c r="D20" s="47" t="s">
        <v>15</v>
      </c>
      <c r="E20" s="47"/>
      <c r="F20" s="82"/>
      <c r="G20" s="82"/>
      <c r="H20" s="47" t="s">
        <v>320</v>
      </c>
      <c r="I20" s="340" t="s">
        <v>28</v>
      </c>
      <c r="J20" s="50">
        <v>0</v>
      </c>
      <c r="K20" s="142" t="s">
        <v>180</v>
      </c>
      <c r="L20" s="49">
        <v>0</v>
      </c>
      <c r="M20" s="49">
        <v>0</v>
      </c>
      <c r="N20" s="85">
        <f>IF(Calculator!$D$15=1,VLOOKUP(Calculator!$D$35+Calculator!$J$14-'State Details'!$J20,IA,3)+(((Calculator!$D$35+Calculator!$J$14-'State Details'!$J20)-VLOOKUP(Calculator!$D$35+Calculator!$J$14-'State Details'!$J20,IA,1))*VLOOKUP(Calculator!$D$35+Calculator!$J$14-'State Details'!$J20,IA,4)),IF(Calculator!$D$15=2,VLOOKUP(Calculator!$D$35+Calculator!$J$14-'State Details'!$J20,IA,5)+(((Calculator!$D$35+Calculator!$J$14-'State Details'!$J20)-VLOOKUP(Calculator!$D$35+Calculator!$J$14-'State Details'!$J20,IA,1))*VLOOKUP(Calculator!$D$35+Calculator!$J$14-'State Details'!$J20,IA,6)),VLOOKUP(Calculator!$D$35+Calculator!$J$14-'State Details'!$J20,IA,7)+(((Calculator!$D$35+Calculator!$J$14-'State Details'!$J20)-VLOOKUP(Calculator!$D$35+Calculator!$J$14-'State Details'!$J20,IA,1))*VLOOKUP(Calculator!$D$35+Calculator!$J$14-'State Details'!$J20,IA,8))))</f>
        <v>0</v>
      </c>
      <c r="O20" s="85">
        <f ca="1">IF(Calculator!$D$15=1,VLOOKUP(Calculator!$X$35+Calculator!$J$14-'State Details'!$J20,IA,3)+(((Calculator!$X$35+Calculator!$J$14-'State Details'!$J20)-VLOOKUP(Calculator!$X$35+Calculator!$J$14-'State Details'!$J20,IA,1))*VLOOKUP(Calculator!$X$35+Calculator!$J$14-'State Details'!$J20,IA,4)),IF(Calculator!$D$15=2,VLOOKUP(Calculator!$X$35+Calculator!$J$14-'State Details'!$J20,IA,5)+(((Calculator!$X$35+Calculator!$J$14-'State Details'!$J20)-VLOOKUP(Calculator!$X$35+Calculator!$J$14-'State Details'!$J20,IA,1))*VLOOKUP(Calculator!$X$35+Calculator!$J$14-'State Details'!$J20,IA,6)),VLOOKUP(Calculator!$X$35+Calculator!$J$14-'State Details'!$J20,IA,7)+(((Calculator!$X$35+Calculator!$J$14-'State Details'!$J20)-VLOOKUP(Calculator!$X$35+Calculator!$J$14-'State Details'!$J20,IA,1))*VLOOKUP(Calculator!$X$35+Calculator!$J$14-'State Details'!$J20,IA,8))))</f>
        <v>0</v>
      </c>
      <c r="P20" s="154"/>
      <c r="Q20" s="154"/>
      <c r="R20" s="89" t="s">
        <v>162</v>
      </c>
      <c r="S20" s="89" t="s">
        <v>160</v>
      </c>
      <c r="T20" s="89" t="s">
        <v>118</v>
      </c>
    </row>
    <row r="21" spans="1:67" ht="14.25" customHeight="1">
      <c r="A21" s="47" t="s">
        <v>47</v>
      </c>
      <c r="B21" s="73">
        <v>-1</v>
      </c>
      <c r="C21" s="48" t="s">
        <v>48</v>
      </c>
      <c r="D21" s="47" t="s">
        <v>15</v>
      </c>
      <c r="E21" s="47"/>
      <c r="F21" s="82"/>
      <c r="G21" s="82"/>
      <c r="H21" s="47" t="s">
        <v>320</v>
      </c>
      <c r="I21" s="47" t="s">
        <v>346</v>
      </c>
      <c r="J21" s="50"/>
      <c r="K21" s="142"/>
      <c r="L21" s="49">
        <v>0</v>
      </c>
      <c r="M21" s="49">
        <v>0</v>
      </c>
      <c r="N21" s="49">
        <v>0</v>
      </c>
      <c r="O21" s="49">
        <v>0</v>
      </c>
      <c r="P21" s="150"/>
      <c r="Q21" s="150"/>
      <c r="R21" s="13" t="s">
        <v>156</v>
      </c>
      <c r="S21" s="13" t="s">
        <v>156</v>
      </c>
      <c r="T21" s="13" t="s">
        <v>156</v>
      </c>
    </row>
    <row r="22" spans="1:67" ht="14.25" customHeight="1">
      <c r="A22" s="47" t="s">
        <v>49</v>
      </c>
      <c r="B22" s="75" t="str">
        <f>1&amp;","&amp;3&amp;","&amp;7</f>
        <v>1,3,7</v>
      </c>
      <c r="C22" s="48" t="s">
        <v>50</v>
      </c>
      <c r="D22" s="47" t="s">
        <v>15</v>
      </c>
      <c r="E22" s="47"/>
      <c r="F22" s="82"/>
      <c r="G22" s="82"/>
      <c r="H22" s="47" t="s">
        <v>320</v>
      </c>
      <c r="I22" s="340" t="s">
        <v>28</v>
      </c>
      <c r="J22" s="50">
        <f>IF(Calculator!$D$15=1,0,IF(Calculator!$D$15=2,1000,500))</f>
        <v>0</v>
      </c>
      <c r="K22" s="142" t="s">
        <v>180</v>
      </c>
      <c r="L22" s="49">
        <v>0</v>
      </c>
      <c r="M22" s="49">
        <v>0</v>
      </c>
      <c r="N22" s="85">
        <f>IF(Calculator!$D$15=1,VLOOKUP(Calculator!$D$35+Calculator!$J$14-'State Details'!$J22,KY,3)+(((Calculator!$D$35+Calculator!$J$14-'State Details'!$J22)-VLOOKUP(Calculator!$D$35+Calculator!$J$14-'State Details'!$J22,KY,1))*VLOOKUP(Calculator!$D$35+Calculator!$J$14-'State Details'!$J22,KY,4)),IF(Calculator!$D$15=2,VLOOKUP(Calculator!$D$35+Calculator!$J$14-'State Details'!$J22,KY,5)+(((Calculator!$D$35+Calculator!$J$14-'State Details'!$J22)-VLOOKUP(Calculator!$D$35+Calculator!$J$14-'State Details'!$J22,KY,1))*VLOOKUP(Calculator!$D$35+Calculator!$J$14-'State Details'!$J22,KY,6)),VLOOKUP(Calculator!$D$35+Calculator!$J$14-'State Details'!$J22,KY,7)+(((Calculator!$D$35+Calculator!$J$14-'State Details'!$J22)-VLOOKUP(Calculator!$D$35+Calculator!$J$14-'State Details'!$J22,KY,1))*VLOOKUP(Calculator!$D$35+Calculator!$J$14-'State Details'!$J22,KY,8))))</f>
        <v>0</v>
      </c>
      <c r="O22" s="85">
        <f ca="1">IF(Calculator!$D$15=1,VLOOKUP(Calculator!$X$35+Calculator!$J$14-'State Details'!$J22,KY,3)+(((Calculator!$X$35+Calculator!$J$14-'State Details'!$J22)-VLOOKUP(Calculator!$X$35+Calculator!$J$14-'State Details'!$J22,KY,1))*VLOOKUP(Calculator!$X$35+Calculator!$J$14-'State Details'!$J22,KY,4)),IF(Calculator!$D$15=2,VLOOKUP(Calculator!$X$35+Calculator!$J$14-'State Details'!$J22,KY,5)+(((Calculator!$X$35+Calculator!$J$14-'State Details'!$J22)-VLOOKUP(Calculator!$X$35+Calculator!$J$14-'State Details'!$J22,KY,1))*VLOOKUP(Calculator!$X$35+Calculator!$J$14-'State Details'!$J22,KY,6)),VLOOKUP(Calculator!$X$35+Calculator!$J$14-'State Details'!$J22,KY,7)+(((Calculator!$X$35+Calculator!$J$14-'State Details'!$J22)-VLOOKUP(Calculator!$X$35+Calculator!$J$14-'State Details'!$J22,KY,1))*VLOOKUP(Calculator!$X$35+Calculator!$J$14-'State Details'!$J22,KY,8))))</f>
        <v>0</v>
      </c>
      <c r="P22" s="154"/>
      <c r="Q22" s="154"/>
    </row>
    <row r="23" spans="1:67" ht="14.25" customHeight="1">
      <c r="A23" s="47" t="s">
        <v>51</v>
      </c>
      <c r="B23" s="73">
        <v>-1</v>
      </c>
      <c r="C23" s="48" t="s">
        <v>52</v>
      </c>
      <c r="D23" s="47" t="s">
        <v>15</v>
      </c>
      <c r="E23" s="47"/>
      <c r="F23" s="145"/>
      <c r="G23" s="145"/>
      <c r="H23" s="47" t="s">
        <v>321</v>
      </c>
      <c r="I23" s="47" t="s">
        <v>346</v>
      </c>
      <c r="J23" s="50"/>
      <c r="K23" s="142"/>
      <c r="L23" s="49">
        <v>0</v>
      </c>
      <c r="M23" s="49">
        <v>0</v>
      </c>
      <c r="N23" s="49">
        <v>0</v>
      </c>
      <c r="O23" s="49">
        <v>0</v>
      </c>
      <c r="P23" s="150"/>
      <c r="Q23" s="150"/>
      <c r="R23" s="13" t="s">
        <v>156</v>
      </c>
      <c r="S23" s="13" t="s">
        <v>156</v>
      </c>
      <c r="T23" s="13" t="s">
        <v>156</v>
      </c>
    </row>
    <row r="24" spans="1:67" ht="14.25" customHeight="1">
      <c r="A24" s="47" t="s">
        <v>53</v>
      </c>
      <c r="B24" s="75" t="str">
        <f>2&amp;","&amp;3&amp;","&amp;7</f>
        <v>2,3,7</v>
      </c>
      <c r="C24" s="48" t="s">
        <v>54</v>
      </c>
      <c r="D24" s="47" t="s">
        <v>15</v>
      </c>
      <c r="E24" s="342" t="s">
        <v>28</v>
      </c>
      <c r="F24" s="344">
        <v>0</v>
      </c>
      <c r="G24" s="344">
        <v>0</v>
      </c>
      <c r="H24" s="47" t="s">
        <v>320</v>
      </c>
      <c r="I24" s="47" t="s">
        <v>346</v>
      </c>
      <c r="J24" s="50"/>
      <c r="K24" s="142" t="s">
        <v>179</v>
      </c>
      <c r="L24" s="85">
        <f>IF(Calculator!$D$35&lt;=$F24,0,VLOOKUP(IF(Calculator!$D$10=TRUE,IF(Calculator!$D$14=TRUE,Calculator!$D$35-'State Details'!$F24,Calculator!$D$35),Calculator!$D$35),StateTaxes,2)+((IF(Calculator!$D$10=TRUE,IF(Calculator!$D$14=TRUE,Calculator!$D$35-'State Details'!$F24,Calculator!$D$35),Calculator!$D$35)-VLOOKUP(IF(Calculator!$D$10=TRUE,IF(Calculator!$D$14=TRUE,Calculator!$D$35-'State Details'!$F24,Calculator!$D$35),Calculator!$D$35),StateTaxes,1))*VLOOKUP(IF(Calculator!$D$10=TRUE,IF(Calculator!$D$14=TRUE,Calculator!$D$35-'State Details'!$F24,Calculator!$D$35),Calculator!$D$35),StateTaxes,3)))</f>
        <v>1853360</v>
      </c>
      <c r="M24" s="833">
        <f ca="1">IF(Q24+Calculator!$J$14-G24&lt;=0,0,VLOOKUP(Q24+Calculator!$J$14-G24,ME,3)+(Q24+Calculator!$J$14-G24-VLOOKUP(Q24+Calculator!$J$14-G24,ME,1))*VLOOKUP(Q24+Calculator!$J$14-G24,ME,4))</f>
        <v>3149826.7509929296</v>
      </c>
      <c r="N24" s="49">
        <v>0</v>
      </c>
      <c r="O24" s="49">
        <v>0</v>
      </c>
      <c r="P24" s="150">
        <f>IF(IF(Calculator!$D$14=TRUE,'Additional Input'!$D$30+'Additional Input'!$D$21-'State Details'!F24,'Additional Input'!$D$30+'Additional Input'!$D$21)&lt;=0,0,IF(Calculator!$D$14=TRUE,'Additional Input'!$D$30+'Additional Input'!$D$21-'State Details'!F24,'Additional Input'!$D$30+'Additional Input'!$D$21))</f>
        <v>15000000</v>
      </c>
      <c r="Q24" s="150">
        <f ca="1">IF(IF(Calculator!$D$14=TRUE,'Additional Input'!$F$31+'Additional Input'!$D$21-'State Details'!G24,'Additional Input'!$F$31+'Additional Input'!$D$21)&lt;=0,0,IF(Calculator!$D$14=TRUE,'Additional Input'!$F$31+'Additional Input'!$D$21-'State Details'!G24,'Additional Input'!$F$31+'Additional Input'!$D$21))</f>
        <v>29748556.258274414</v>
      </c>
      <c r="R24" s="13" t="s">
        <v>156</v>
      </c>
      <c r="S24" s="13" t="s">
        <v>156</v>
      </c>
      <c r="T24" s="13" t="s">
        <v>156</v>
      </c>
      <c r="BO24" s="165"/>
    </row>
    <row r="25" spans="1:67" ht="14.25" customHeight="1">
      <c r="A25" s="47" t="s">
        <v>55</v>
      </c>
      <c r="B25" s="75" t="str">
        <f>3&amp;", "&amp;4</f>
        <v>3, 4</v>
      </c>
      <c r="C25" s="48" t="s">
        <v>56</v>
      </c>
      <c r="D25" s="47" t="s">
        <v>15</v>
      </c>
      <c r="E25" s="340" t="s">
        <v>28</v>
      </c>
      <c r="F25" s="345">
        <v>1000000</v>
      </c>
      <c r="G25" s="341">
        <f t="shared" ref="G25:G26" si="0">F25</f>
        <v>1000000</v>
      </c>
      <c r="H25" s="47" t="s">
        <v>320</v>
      </c>
      <c r="I25" s="340" t="s">
        <v>28</v>
      </c>
      <c r="J25" s="50">
        <v>0</v>
      </c>
      <c r="K25" s="142" t="s">
        <v>158</v>
      </c>
      <c r="L25" s="85">
        <f>IF(MIN((IF(Calculator!$D$10=TRUE,IF(Calculator!$D$14=TRUE,Calculator!$D$35-$F25,Calculator!$D$35),Calculator!$D$35)-$F$25)*0.16,U25)-N25&lt;0,0,MIN((IF(Calculator!$D$10=TRUE,IF(Calculator!$D$14=TRUE,Calculator!$D$35-$F25,Calculator!$D$35),Calculator!$D$35)-$F$25)*0.16,U25)-N25)</f>
        <v>1693360</v>
      </c>
      <c r="M25" s="85">
        <f ca="1">IF(MIN((IF(Calculator!$D$10=TRUE,IF(Calculator!$D$14=TRUE,Calculator!$X$35-$G25,Calculator!$X$35),Calculator!$X$35)-$G$25)*0.16,V25)-O25&lt;0,0,MIN((IF(Calculator!$D$10=TRUE,IF(Calculator!$D$14=TRUE,Calculator!$X$35-$G25,Calculator!$X$35),Calculator!$X$35)-$G$25)*0.16,V25)-O25)</f>
        <v>4066569.0013239062</v>
      </c>
      <c r="N25" s="86">
        <f>IF(Calculator!$D$15=1,0,IF(Calculator!$D$15=2,(Calculator!$D$35-'State Details'!$J25)*0.1,(Calculator!$D$35-'State Details'!$J25)*0.1))</f>
        <v>0</v>
      </c>
      <c r="O25" s="86">
        <f>IF(Calculator!$D$15=1,0,IF(Calculator!$D$15=2,(Calculator!$X$35-'State Details'!$J25)*0.1,(Calculator!$X$35-'State Details'!$J25)*0.1))</f>
        <v>0</v>
      </c>
      <c r="P25" s="150">
        <f>IF(IF(Calculator!$D$14=TRUE,'Additional Input'!$D$30+'Additional Input'!$D$21-'State Details'!F25,'Additional Input'!$D$30+'Additional Input'!$D$21)&lt;=0,0,IF(Calculator!$D$14=TRUE,'Additional Input'!$D$30+'Additional Input'!$D$21-'State Details'!F25,'Additional Input'!$D$30+'Additional Input'!$D$21))</f>
        <v>14000000</v>
      </c>
      <c r="Q25" s="150">
        <f ca="1">IF(IF(Calculator!$D$14=TRUE,'Additional Input'!$F$31+'Additional Input'!$D$21-'State Details'!G25,'Additional Input'!$F$31+'Additional Input'!$D$21)&lt;=0,0,IF(Calculator!$D$14=TRUE,'Additional Input'!$F$31+'Additional Input'!$D$21-'State Details'!G25,'Additional Input'!$F$31+'Additional Input'!$D$21))</f>
        <v>28748556.258274414</v>
      </c>
      <c r="R25" s="89" t="s">
        <v>192</v>
      </c>
      <c r="S25" s="89" t="s">
        <v>189</v>
      </c>
      <c r="T25" s="89" t="s">
        <v>189</v>
      </c>
      <c r="U25" s="85">
        <f>IF(Calculator!$D$35&lt;=$F25,0,VLOOKUP(IF(Calculator!$D$10=TRUE,IF(Calculator!$D$14=TRUE,Calculator!$D$35-'State Details'!$F25,Calculator!$D$35),Calculator!$D$35),StateTaxes,2)+((IF(Calculator!$D$10=TRUE,IF(Calculator!$D$14=TRUE,Calculator!$D$35-'State Details'!$F25,Calculator!$D$35),Calculator!$D$35)-VLOOKUP(IF(Calculator!$D$10=TRUE,IF(Calculator!$D$14=TRUE,Calculator!$D$35-'State Details'!$F25,Calculator!$D$35),Calculator!$D$35),StateTaxes,1))*VLOOKUP(IF(Calculator!$D$10=TRUE,IF(Calculator!$D$14=TRUE,Calculator!$D$35-'State Details'!$F25,Calculator!$D$35),Calculator!$D$35),StateTaxes,3)))</f>
        <v>1693360</v>
      </c>
      <c r="V25" s="85">
        <f ca="1">IF(Calculator!$X$35&lt;=$G25,0,VLOOKUP(IF(Calculator!$D$10=TRUE,IF(Calculator!$D$14=TRUE,Calculator!$X$35-'State Details'!$G25,Calculator!$X$35),Calculator!$X$35),StateTaxes,2)+((IF(Calculator!$D$10=TRUE,IF(Calculator!$D$14=TRUE,Calculator!$X$35-'State Details'!$G25,Calculator!$X$35),Calculator!$X$35)-VLOOKUP(IF(Calculator!$D$10=TRUE,IF(Calculator!$D$14=TRUE,Calculator!$X$35-'State Details'!$G25,Calculator!$X$35),Calculator!$X$35),StateTaxes,1))*VLOOKUP(IF(Calculator!$D$10=TRUE,IF(Calculator!$D$14=TRUE,Calculator!$X$35-'State Details'!$G25,Calculator!$X$35),Calculator!$X$35),StateTaxes,3)))</f>
        <v>4066569.0013239062</v>
      </c>
    </row>
    <row r="26" spans="1:67" ht="14.25" customHeight="1">
      <c r="A26" s="47" t="s">
        <v>57</v>
      </c>
      <c r="B26" s="75" t="str">
        <f>2&amp;", "&amp;3</f>
        <v>2, 3</v>
      </c>
      <c r="C26" s="48" t="s">
        <v>58</v>
      </c>
      <c r="D26" s="47" t="s">
        <v>15</v>
      </c>
      <c r="E26" s="340" t="s">
        <v>28</v>
      </c>
      <c r="F26" s="86">
        <v>1000000</v>
      </c>
      <c r="G26" s="341">
        <f t="shared" si="0"/>
        <v>1000000</v>
      </c>
      <c r="H26" s="47" t="s">
        <v>320</v>
      </c>
      <c r="I26" s="47" t="s">
        <v>346</v>
      </c>
      <c r="J26" s="50"/>
      <c r="K26" s="142" t="s">
        <v>179</v>
      </c>
      <c r="L26" s="85">
        <f>IF(Calculator!$D$35&lt;=$F26,0,VLOOKUP(IF(Calculator!$D$10=TRUE,IF(Calculator!$D$14=TRUE,Calculator!$D$35-'State Details'!$F26,Calculator!$D$35),Calculator!$D$35),StateTaxes,2)+((IF(Calculator!$D$10=TRUE,IF(Calculator!$D$14=TRUE,Calculator!$D$35-'State Details'!$F26,Calculator!$D$35),Calculator!$D$35)-VLOOKUP(IF(Calculator!$D$10=TRUE,IF(Calculator!$D$14=TRUE,Calculator!$D$35-'State Details'!$F26,Calculator!$D$35),Calculator!$D$35),StateTaxes,1))*VLOOKUP(IF(Calculator!$D$10=TRUE,IF(Calculator!$D$14=TRUE,Calculator!$D$35-'State Details'!$F26,Calculator!$D$35),Calculator!$D$35),StateTaxes,3)))</f>
        <v>1693360</v>
      </c>
      <c r="M26" s="85">
        <f ca="1">IF(Calculator!$X$35&lt;=$G26,0,VLOOKUP(IF(Calculator!$D$10=TRUE,IF(Calculator!$D$14=TRUE,Calculator!$X$35-'State Details'!$G26,Calculator!$X$35),Calculator!$X$35),StateTaxes,2)+((IF(Calculator!$D$10=TRUE,IF(Calculator!$D$14=TRUE,Calculator!$X$35-'State Details'!$G26,Calculator!$X$35),Calculator!$X$35)-VLOOKUP(IF(Calculator!$D$10=TRUE,IF(Calculator!$D$14=TRUE,Calculator!$X$35-'State Details'!$G26,Calculator!$X$35),Calculator!$X$35),StateTaxes,1))*VLOOKUP(IF(Calculator!$D$10=TRUE,IF(Calculator!$D$14=TRUE,Calculator!$X$35-'State Details'!$G26,Calculator!$X$35),Calculator!$X$35),StateTaxes,3)))</f>
        <v>4066569.0013239062</v>
      </c>
      <c r="N26" s="49">
        <v>0</v>
      </c>
      <c r="O26" s="49">
        <v>0</v>
      </c>
      <c r="P26" s="150">
        <f>IF(IF(Calculator!$D$14=TRUE,'Additional Input'!$D$30+'Additional Input'!$D$21-'State Details'!F26,'Additional Input'!$D$30+'Additional Input'!$D$21)&lt;=0,0,IF(Calculator!$D$14=TRUE,'Additional Input'!$D$30+'Additional Input'!$D$21-'State Details'!F26,'Additional Input'!$D$30+'Additional Input'!$D$21))</f>
        <v>14000000</v>
      </c>
      <c r="Q26" s="150">
        <f ca="1">IF(IF(Calculator!$D$14=TRUE,'Additional Input'!$F$31+'Additional Input'!$D$21-'State Details'!G26,'Additional Input'!$F$31+'Additional Input'!$D$21)&lt;=0,0,IF(Calculator!$D$14=TRUE,'Additional Input'!$F$31+'Additional Input'!$D$21-'State Details'!G26,'Additional Input'!$F$31+'Additional Input'!$D$21))</f>
        <v>28748556.258274414</v>
      </c>
      <c r="R26" s="13" t="s">
        <v>156</v>
      </c>
      <c r="S26" s="13" t="s">
        <v>156</v>
      </c>
      <c r="T26" s="13" t="s">
        <v>156</v>
      </c>
    </row>
    <row r="27" spans="1:67" ht="14.25" customHeight="1">
      <c r="A27" s="47" t="s">
        <v>59</v>
      </c>
      <c r="B27" s="73">
        <v>-1</v>
      </c>
      <c r="C27" s="48" t="s">
        <v>60</v>
      </c>
      <c r="D27" s="47" t="s">
        <v>15</v>
      </c>
      <c r="E27" s="47"/>
      <c r="F27" s="82"/>
      <c r="G27" s="82"/>
      <c r="H27" s="47" t="s">
        <v>321</v>
      </c>
      <c r="I27" s="47" t="s">
        <v>346</v>
      </c>
      <c r="J27" s="50"/>
      <c r="K27" s="142"/>
      <c r="L27" s="49">
        <v>0</v>
      </c>
      <c r="M27" s="49">
        <v>0</v>
      </c>
      <c r="N27" s="49">
        <v>0</v>
      </c>
      <c r="O27" s="49">
        <v>0</v>
      </c>
      <c r="P27" s="150"/>
      <c r="Q27" s="150"/>
      <c r="R27" s="13" t="s">
        <v>156</v>
      </c>
      <c r="S27" s="13" t="s">
        <v>156</v>
      </c>
      <c r="T27" s="13" t="s">
        <v>156</v>
      </c>
    </row>
    <row r="28" spans="1:67" ht="14.25" customHeight="1">
      <c r="A28" s="47" t="s">
        <v>61</v>
      </c>
      <c r="B28" s="73">
        <v>-2</v>
      </c>
      <c r="C28" s="48" t="s">
        <v>62</v>
      </c>
      <c r="D28" s="47" t="s">
        <v>15</v>
      </c>
      <c r="E28" s="340" t="s">
        <v>28</v>
      </c>
      <c r="F28" s="86">
        <v>1000000</v>
      </c>
      <c r="G28" s="86">
        <v>1000000</v>
      </c>
      <c r="H28" s="47" t="s">
        <v>319</v>
      </c>
      <c r="I28" s="47" t="s">
        <v>346</v>
      </c>
      <c r="J28" s="50"/>
      <c r="K28" s="142" t="s">
        <v>179</v>
      </c>
      <c r="L28" s="85">
        <f>IF(Calculator!$D$35&lt;=$F28,0,VLOOKUP(IF(Calculator!$D$10=TRUE,IF(Calculator!$D$14=TRUE,Calculator!$D$35-'State Details'!$F28,Calculator!$D$35),Calculator!$D$35),StateTaxes,2)+((IF(Calculator!$D$10=TRUE,IF(Calculator!$D$14=TRUE,Calculator!$D$35-'State Details'!$F28,Calculator!$D$35),Calculator!$D$35)-VLOOKUP(IF(Calculator!$D$10=TRUE,IF(Calculator!$D$14=TRUE,Calculator!$D$35-'State Details'!$F28,Calculator!$D$35),Calculator!$D$35),StateTaxes,1))*VLOOKUP(IF(Calculator!$D$10=TRUE,IF(Calculator!$D$14=TRUE,Calculator!$D$35-'State Details'!$F28,Calculator!$D$35),Calculator!$D$35),StateTaxes,3)))</f>
        <v>1693360</v>
      </c>
      <c r="M28" s="85">
        <f ca="1">IF(Calculator!$X$35&lt;=$G28,0,VLOOKUP(IF(Calculator!$D$10=TRUE,IF(Calculator!$D$14=TRUE,Calculator!$X$35-'State Details'!$G28,Calculator!$X$35),Calculator!$X$35),StateTaxes,2)+((IF(Calculator!$D$10=TRUE,IF(Calculator!$D$14=TRUE,Calculator!$X$35-'State Details'!$G28,Calculator!$X$35),Calculator!$X$35)-VLOOKUP(IF(Calculator!$D$10=TRUE,IF(Calculator!$D$14=TRUE,Calculator!$X$35-'State Details'!$G28,Calculator!$X$35),Calculator!$X$35),StateTaxes,1))*VLOOKUP(IF(Calculator!$D$10=TRUE,IF(Calculator!$D$14=TRUE,Calculator!$X$35-'State Details'!$G28,Calculator!$X$35),Calculator!$X$35),StateTaxes,3)))</f>
        <v>4066569.0013239062</v>
      </c>
      <c r="N28" s="49">
        <v>0</v>
      </c>
      <c r="O28" s="49">
        <v>0</v>
      </c>
      <c r="P28" s="150">
        <f>IF(IF(Calculator!$D$14=TRUE,'Additional Input'!$D$30+'Additional Input'!$D$21-'State Details'!F28,'Additional Input'!$D$30+'Additional Input'!$D$21)&lt;=0,0,IF(Calculator!$D$14=TRUE,'Additional Input'!$D$30+'Additional Input'!$D$21-'State Details'!F28,'Additional Input'!$D$30+'Additional Input'!$D$21))</f>
        <v>14000000</v>
      </c>
      <c r="Q28" s="150">
        <f ca="1">IF(IF(Calculator!$D$14=TRUE,'Additional Input'!$F$31+'Additional Input'!$D$21-'State Details'!G28,'Additional Input'!$F$31+'Additional Input'!$D$21)&lt;=0,0,IF(Calculator!$D$14=TRUE,'Additional Input'!$F$31+'Additional Input'!$D$21-'State Details'!G28,'Additional Input'!$F$31+'Additional Input'!$D$21))</f>
        <v>28748556.258274414</v>
      </c>
      <c r="R28" s="13" t="s">
        <v>156</v>
      </c>
      <c r="S28" s="13" t="s">
        <v>156</v>
      </c>
      <c r="T28" s="13" t="s">
        <v>156</v>
      </c>
    </row>
    <row r="29" spans="1:67" ht="14.25" customHeight="1">
      <c r="A29" s="47" t="s">
        <v>63</v>
      </c>
      <c r="B29" s="73">
        <v>-1</v>
      </c>
      <c r="C29" s="48" t="s">
        <v>64</v>
      </c>
      <c r="D29" s="47" t="s">
        <v>15</v>
      </c>
      <c r="E29" s="47"/>
      <c r="F29" s="82"/>
      <c r="G29" s="82"/>
      <c r="H29" s="47" t="s">
        <v>321</v>
      </c>
      <c r="I29" s="47" t="s">
        <v>346</v>
      </c>
      <c r="J29" s="50"/>
      <c r="K29" s="142"/>
      <c r="L29" s="49">
        <v>0</v>
      </c>
      <c r="M29" s="49">
        <v>0</v>
      </c>
      <c r="N29" s="49">
        <v>0</v>
      </c>
      <c r="O29" s="49">
        <v>0</v>
      </c>
      <c r="P29" s="150"/>
      <c r="Q29" s="150"/>
      <c r="R29" s="13" t="s">
        <v>156</v>
      </c>
      <c r="S29" s="13" t="s">
        <v>156</v>
      </c>
      <c r="T29" s="13" t="s">
        <v>156</v>
      </c>
    </row>
    <row r="30" spans="1:67" ht="14.25" customHeight="1">
      <c r="A30" s="47" t="s">
        <v>65</v>
      </c>
      <c r="B30" s="73">
        <v>-1</v>
      </c>
      <c r="C30" s="48" t="s">
        <v>66</v>
      </c>
      <c r="D30" s="47" t="s">
        <v>15</v>
      </c>
      <c r="E30" s="47"/>
      <c r="F30" s="82"/>
      <c r="G30" s="82"/>
      <c r="H30" s="47" t="s">
        <v>321</v>
      </c>
      <c r="I30" s="47" t="s">
        <v>346</v>
      </c>
      <c r="J30" s="50"/>
      <c r="K30" s="142"/>
      <c r="L30" s="49">
        <v>0</v>
      </c>
      <c r="M30" s="49">
        <v>0</v>
      </c>
      <c r="N30" s="49">
        <v>0</v>
      </c>
      <c r="O30" s="49">
        <v>0</v>
      </c>
      <c r="P30" s="150"/>
      <c r="Q30" s="150"/>
      <c r="R30" s="13" t="s">
        <v>156</v>
      </c>
      <c r="S30" s="13" t="s">
        <v>156</v>
      </c>
      <c r="T30" s="13" t="s">
        <v>156</v>
      </c>
    </row>
    <row r="31" spans="1:67" ht="14.25" customHeight="1">
      <c r="A31" s="47" t="s">
        <v>67</v>
      </c>
      <c r="B31" s="73">
        <v>-1</v>
      </c>
      <c r="C31" s="48" t="s">
        <v>68</v>
      </c>
      <c r="D31" s="47" t="s">
        <v>15</v>
      </c>
      <c r="E31" s="47"/>
      <c r="F31" s="82"/>
      <c r="G31" s="82"/>
      <c r="H31" s="47" t="s">
        <v>321</v>
      </c>
      <c r="I31" s="47" t="s">
        <v>346</v>
      </c>
      <c r="J31" s="50"/>
      <c r="K31" s="142"/>
      <c r="L31" s="49">
        <v>0</v>
      </c>
      <c r="M31" s="49">
        <v>0</v>
      </c>
      <c r="N31" s="49">
        <v>0</v>
      </c>
      <c r="O31" s="49">
        <v>0</v>
      </c>
      <c r="P31" s="150"/>
      <c r="Q31" s="150"/>
      <c r="R31" s="13" t="s">
        <v>156</v>
      </c>
      <c r="S31" s="13" t="s">
        <v>156</v>
      </c>
      <c r="T31" s="13" t="s">
        <v>156</v>
      </c>
    </row>
    <row r="32" spans="1:67" ht="14.25" customHeight="1">
      <c r="A32" s="47" t="s">
        <v>69</v>
      </c>
      <c r="B32" s="75" t="str">
        <f>1&amp;", "&amp;7</f>
        <v>1, 7</v>
      </c>
      <c r="C32" s="48" t="s">
        <v>70</v>
      </c>
      <c r="D32" s="47" t="s">
        <v>15</v>
      </c>
      <c r="E32" s="47"/>
      <c r="F32" s="82"/>
      <c r="G32" s="82"/>
      <c r="H32" s="47" t="s">
        <v>321</v>
      </c>
      <c r="I32" s="340" t="s">
        <v>28</v>
      </c>
      <c r="J32" s="50" t="s">
        <v>164</v>
      </c>
      <c r="K32" s="142" t="s">
        <v>180</v>
      </c>
      <c r="L32" s="49">
        <v>0</v>
      </c>
      <c r="M32" s="49">
        <v>0</v>
      </c>
      <c r="N32" s="85">
        <f>IF(Calculator!$D$15=1,VLOOKUP(Calculator!$D$35+Calculator!$J$14,NE,3)+(((Calculator!$D$35+Calculator!$J$14)-VLOOKUP(Calculator!$D$35+Calculator!$J$14,NE,1))*VLOOKUP(Calculator!$D$35+Calculator!$J$14,NE,4)),IF(Calculator!$D$15=2,VLOOKUP(Calculator!$D$35+Calculator!$J$14,NE,5)+(((Calculator!$D$35+Calculator!$J$14)-VLOOKUP(Calculator!$D$35+Calculator!$J$14,NE,1))*VLOOKUP(Calculator!$D$35+Calculator!$J$14,NE,6)),VLOOKUP(Calculator!$D$35+Calculator!$J$14,NE,7)+(((Calculator!$D$35+Calculator!$J$14)-VLOOKUP(Calculator!$D$35+Calculator!$J$14,NE,1))*VLOOKUP(Calculator!$D$35+Calculator!$J$14,NE,8))))</f>
        <v>148760</v>
      </c>
      <c r="O32" s="85">
        <f ca="1">IF(Calculator!$D$15=1,VLOOKUP(Calculator!$X$35+Calculator!$J$14,NE,3)+(((Calculator!$X$35+Calculator!$J$14)-VLOOKUP(Calculator!$X$35+Calculator!$J$14,NE,1))*VLOOKUP(Calculator!$X$35+Calculator!$J$14,NE,4)),IF(Calculator!$D$15=2,VLOOKUP(Calculator!$X$35+Calculator!$J$14,NE,5)+(((Calculator!$X$35+Calculator!$J$14)-VLOOKUP(Calculator!$X$35+Calculator!$J$14,NE,1))*VLOOKUP(Calculator!$X$35+Calculator!$J$14,NE,6)),VLOOKUP(Calculator!$X$35+Calculator!$J$14,NE,7)+(((Calculator!$X$35+Calculator!$J$14)-VLOOKUP(Calculator!$X$35+Calculator!$J$14,NE,1))*VLOOKUP(Calculator!$X$35+Calculator!$J$14,NE,8))))</f>
        <v>297085.56258274417</v>
      </c>
      <c r="P32" s="154"/>
      <c r="Q32" s="154"/>
      <c r="R32" s="89" t="s">
        <v>191</v>
      </c>
      <c r="S32" s="89" t="s">
        <v>165</v>
      </c>
      <c r="T32" s="89" t="s">
        <v>118</v>
      </c>
    </row>
    <row r="33" spans="1:24" ht="14.25" customHeight="1">
      <c r="A33" s="47" t="s">
        <v>71</v>
      </c>
      <c r="B33" s="73">
        <v>-1</v>
      </c>
      <c r="C33" s="48" t="s">
        <v>72</v>
      </c>
      <c r="D33" s="47" t="s">
        <v>15</v>
      </c>
      <c r="E33" s="47"/>
      <c r="F33" s="82"/>
      <c r="G33" s="82"/>
      <c r="H33" s="47" t="s">
        <v>321</v>
      </c>
      <c r="I33" s="47" t="s">
        <v>346</v>
      </c>
      <c r="J33" s="50"/>
      <c r="K33" s="142"/>
      <c r="L33" s="49">
        <v>0</v>
      </c>
      <c r="M33" s="49">
        <v>0</v>
      </c>
      <c r="N33" s="50">
        <v>0</v>
      </c>
      <c r="O33" s="50">
        <v>0</v>
      </c>
      <c r="P33" s="150"/>
      <c r="Q33" s="150"/>
      <c r="R33" s="13" t="s">
        <v>156</v>
      </c>
      <c r="S33" s="13" t="s">
        <v>156</v>
      </c>
      <c r="T33" s="13" t="s">
        <v>156</v>
      </c>
    </row>
    <row r="34" spans="1:24" ht="14.25" customHeight="1">
      <c r="A34" s="47" t="s">
        <v>73</v>
      </c>
      <c r="B34" s="73">
        <v>-1</v>
      </c>
      <c r="C34" s="48" t="s">
        <v>74</v>
      </c>
      <c r="D34" s="47" t="s">
        <v>15</v>
      </c>
      <c r="E34" s="47"/>
      <c r="F34" s="82"/>
      <c r="G34" s="82"/>
      <c r="H34" s="47" t="s">
        <v>321</v>
      </c>
      <c r="I34" s="47" t="s">
        <v>346</v>
      </c>
      <c r="J34" s="50"/>
      <c r="K34" s="142"/>
      <c r="L34" s="49">
        <v>0</v>
      </c>
      <c r="M34" s="49">
        <v>0</v>
      </c>
      <c r="N34" s="49">
        <v>0</v>
      </c>
      <c r="O34" s="49">
        <v>0</v>
      </c>
      <c r="P34" s="150"/>
      <c r="Q34" s="150"/>
      <c r="R34" s="13" t="s">
        <v>156</v>
      </c>
      <c r="S34" s="13" t="s">
        <v>156</v>
      </c>
      <c r="T34" s="13" t="s">
        <v>156</v>
      </c>
      <c r="U34" s="13" t="s">
        <v>289</v>
      </c>
      <c r="V34" s="13" t="s">
        <v>290</v>
      </c>
      <c r="W34" s="13" t="s">
        <v>289</v>
      </c>
      <c r="X34" s="13" t="s">
        <v>290</v>
      </c>
    </row>
    <row r="35" spans="1:24" ht="14.25" customHeight="1">
      <c r="A35" s="47" t="s">
        <v>75</v>
      </c>
      <c r="B35" s="75" t="str">
        <f>3&amp;","&amp;4&amp;","&amp;7</f>
        <v>3,4,7</v>
      </c>
      <c r="C35" s="48" t="s">
        <v>76</v>
      </c>
      <c r="D35" s="47" t="s">
        <v>15</v>
      </c>
      <c r="E35" s="340" t="s">
        <v>28</v>
      </c>
      <c r="F35" s="86">
        <v>675000</v>
      </c>
      <c r="G35" s="341">
        <f>F35</f>
        <v>675000</v>
      </c>
      <c r="H35" s="47" t="s">
        <v>320</v>
      </c>
      <c r="I35" s="340" t="s">
        <v>28</v>
      </c>
      <c r="J35" s="50"/>
      <c r="K35" s="144" t="s">
        <v>168</v>
      </c>
      <c r="L35" s="85">
        <f>IF($N35&gt;MIN($U35,$W35),0,MIN($U35,$W35))</f>
        <v>1745360</v>
      </c>
      <c r="M35" s="85">
        <f ca="1">IF($O35&gt;MIN($V35,$X35),0,MIN($V35,$X35))</f>
        <v>4118569.0013239062</v>
      </c>
      <c r="N35" s="85">
        <f>IF(Calculator!$D$15=1,VLOOKUP(Calculator!$D$35+Calculator!$J$14,NJ,3)+(((Calculator!$D$35+Calculator!$J$14)-VLOOKUP(Calculator!$D$35+Calculator!$J$14,NJ,1))*VLOOKUP(Calculator!$D$35+Calculator!$J$14,NJ,4)),IF(Calculator!$D$15=2,VLOOKUP(Calculator!$D$35+Calculator!$J$14,NJ,5)+(((Calculator!$D$35+Calculator!$J$14)-VLOOKUP(Calculator!$D$35+Calculator!$J$14,NJ,1))*VLOOKUP(Calculator!$D$35+Calculator!$J$14,NJ,6)),VLOOKUP(Calculator!$D$35+Calculator!$J$14,NJ,7)+(((Calculator!$D$35+Calculator!$J$14)-VLOOKUP(Calculator!$D$35+Calculator!$J$14,NJ,1))*VLOOKUP(Calculator!$D$35+Calculator!$J$14,NJ,8))))</f>
        <v>0</v>
      </c>
      <c r="O35" s="85">
        <f ca="1">IF(Calculator!$D$15=1,VLOOKUP(Calculator!$X$35+Calculator!$J$14,NJ,3)+(((Calculator!$X$35+Calculator!$J$14)-VLOOKUP(Calculator!$X$35+Calculator!$J$14,NJ,1))*VLOOKUP(Calculator!$X$35+Calculator!$J$14,NJ,4)),IF(Calculator!$D$15=2,VLOOKUP(Calculator!$X$35+Calculator!$J$14,NJ,5)+(((Calculator!$X$35+Calculator!$J$14)-VLOOKUP(Calculator!$X$35+Calculator!$J$14,NJ,1))*VLOOKUP(Calculator!$X$35+Calculator!$J$14,NJ,6)),VLOOKUP(Calculator!$X$35+Calculator!$J$14,NJ,7)+(((Calculator!$X$35+Calculator!$J$14)-VLOOKUP(Calculator!$X$35+Calculator!$J$14,NJ,1))*VLOOKUP(Calculator!$X$35+Calculator!$J$14,NJ,8))))</f>
        <v>0</v>
      </c>
      <c r="P35" s="150">
        <f>IF(IF(Calculator!$D$14=TRUE,'Additional Input'!$D$30+'Additional Input'!$D$21-'State Details'!F35,'Additional Input'!$D$30+'Additional Input'!$D$21)&lt;=0,0,IF(Calculator!$D$14=TRUE,'Additional Input'!$D$30+'Additional Input'!$D$21-'State Details'!F35,'Additional Input'!$D$30+'Additional Input'!$D$21))</f>
        <v>14325000</v>
      </c>
      <c r="Q35" s="150">
        <f ca="1">IF(IF(Calculator!$D$14=TRUE,'Additional Input'!$F$31+'Additional Input'!$D$21-'State Details'!G35,'Additional Input'!$F$31+'Additional Input'!$D$21)&lt;=0,0,IF(Calculator!$D$14=TRUE,'Additional Input'!$F$31+'Additional Input'!$D$21-'State Details'!G35,'Additional Input'!$F$31+'Additional Input'!$D$21))</f>
        <v>29073556.258274414</v>
      </c>
      <c r="R35" s="89" t="s">
        <v>191</v>
      </c>
      <c r="S35" s="89" t="s">
        <v>160</v>
      </c>
      <c r="T35" s="89" t="s">
        <v>118</v>
      </c>
      <c r="U35" s="85">
        <f>IF(Calculator!$D$35&lt;=$F35,0,VLOOKUP(IF(Calculator!$D$10=TRUE,IF(Calculator!$D$14=TRUE,Calculator!$D$35-'State Details'!$F35,Calculator!$D$35),Calculator!$D$35),StateTaxes,2)+((IF(Calculator!$D$10=TRUE,IF(Calculator!$D$14=TRUE,Calculator!$D$35-'State Details'!$F35,Calculator!$D$35),Calculator!$D$35)-VLOOKUP(IF(Calculator!$D$10=TRUE,IF(Calculator!$D$14=TRUE,Calculator!$D$35-'State Details'!$F35,Calculator!$D$35),Calculator!$D$35),StateTaxes,1))*VLOOKUP(IF(Calculator!$D$10=TRUE,IF(Calculator!$D$14=TRUE,Calculator!$D$35-'State Details'!$F35,Calculator!$D$35),Calculator!$D$35),StateTaxes,3)))</f>
        <v>1745360</v>
      </c>
      <c r="V35" s="85">
        <f ca="1">IF(Calculator!$X$35&lt;=$G35,0,VLOOKUP(IF(Calculator!$D$10=TRUE,IF(Calculator!$D$14=TRUE,Calculator!$X$35-'State Details'!$G35,Calculator!$X$35),Calculator!$X$35),StateTaxes,2)+((IF(Calculator!$D$10=TRUE,IF(Calculator!$D$14=TRUE,Calculator!$X$35-'State Details'!$G35,Calculator!$X$35),Calculator!$X$35)-VLOOKUP(IF(Calculator!$D$10=TRUE,IF(Calculator!$D$14=TRUE,Calculator!$X$35-'State Details'!$G35,Calculator!$X$35),Calculator!$X$35),StateTaxes,1))*VLOOKUP(IF(Calculator!$D$10=TRUE,IF(Calculator!$D$14=TRUE,Calculator!$X$35-'State Details'!$G35,Calculator!$X$35),Calculator!$X$35),StateTaxes,3)))</f>
        <v>4118569.0013239062</v>
      </c>
      <c r="W35" s="87">
        <f>IF(Calculator!$D$35&lt;'State Details'!F35,0,IF(VLOOKUP(IF(Calculator!$D$14=TRUE,Calculator!$D$35-$F35,Calculator!$D$35),ETable2,3)+(IF(Calculator!$D$14=TRUE,Calculator!$D$35-$F35,Calculator!$D$35)-VLOOKUP(IF(Calculator!$D$14=TRUE,Calculator!$D$35-$F35,Calculator!$D$35),ETable2,1))*VLOOKUP(IF(Calculator!$D$14=TRUE,Calculator!$D$35-$F35,Calculator!$D$35),ETable2,4)-220550&lt;0,0,VLOOKUP(IF(Calculator!$D$14=TRUE,Calculator!$D$35-$F35,Calculator!$D$35),ETable2,3)+(IF(Calculator!$D$14=TRUE,Calculator!$D$35-$F35,Calculator!$D$35)-VLOOKUP(IF(Calculator!$D$14=TRUE,Calculator!$D$35-$F35,Calculator!$D$35),ETable2,1))*VLOOKUP(IF(Calculator!$D$14=TRUE,Calculator!$D$35-$F35,Calculator!$D$35),ETable2,4)-220550))</f>
        <v>7464850</v>
      </c>
      <c r="X35" s="87">
        <f ca="1">IF(Calculator!$X$35&lt;'State Details'!G35,0,IF(VLOOKUP(IF(Calculator!$D$14=TRUE,Calculator!$X$35-$G35,Calculator!$X$35),ETable2,3)+(IF(Calculator!$D$14=TRUE,Calculator!$X$35-$G35,Calculator!$X$35)-VLOOKUP(IF(Calculator!$D$14=TRUE,Calculator!$X$35-$G35,Calculator!$X$35),ETable2,1))*VLOOKUP(IF(Calculator!$D$14=TRUE,Calculator!$X$35-$G35,Calculator!$X$35),ETable2,4)-220550&lt;0,0,VLOOKUP(IF(Calculator!$D$14=TRUE,Calculator!$X$35-$G35,Calculator!$X$35),ETable2,3)+(IF(Calculator!$D$14=TRUE,Calculator!$X$35-$G35,Calculator!$X$35)-VLOOKUP(IF(Calculator!$D$14=TRUE,Calculator!$X$35-$G35,Calculator!$X$35),ETable2,1))*VLOOKUP(IF(Calculator!$D$14=TRUE,Calculator!$X$35-$G35,Calculator!$X$35),ETable2,4)-220550))</f>
        <v>15769905.942050928</v>
      </c>
    </row>
    <row r="36" spans="1:24" ht="14.25" customHeight="1">
      <c r="A36" s="47" t="s">
        <v>77</v>
      </c>
      <c r="B36" s="73">
        <v>-1</v>
      </c>
      <c r="C36" s="48" t="s">
        <v>78</v>
      </c>
      <c r="D36" s="47" t="s">
        <v>15</v>
      </c>
      <c r="E36" s="47"/>
      <c r="F36" s="82"/>
      <c r="G36" s="82"/>
      <c r="H36" s="47" t="s">
        <v>321</v>
      </c>
      <c r="I36" s="84" t="s">
        <v>346</v>
      </c>
      <c r="J36" s="50"/>
      <c r="K36" s="142"/>
      <c r="L36" s="49">
        <v>0</v>
      </c>
      <c r="M36" s="49">
        <v>0</v>
      </c>
      <c r="N36" s="49">
        <v>0</v>
      </c>
      <c r="O36" s="49">
        <v>0</v>
      </c>
      <c r="P36" s="150"/>
      <c r="Q36" s="150"/>
      <c r="R36" s="13" t="s">
        <v>156</v>
      </c>
      <c r="S36" s="13" t="s">
        <v>156</v>
      </c>
      <c r="T36" s="13" t="s">
        <v>156</v>
      </c>
    </row>
    <row r="37" spans="1:24" ht="14.25" customHeight="1">
      <c r="A37" s="47" t="s">
        <v>79</v>
      </c>
      <c r="B37" s="75" t="str">
        <f>2&amp;", "&amp;3</f>
        <v>2, 3</v>
      </c>
      <c r="C37" s="48" t="s">
        <v>80</v>
      </c>
      <c r="D37" s="47" t="s">
        <v>15</v>
      </c>
      <c r="E37" s="340" t="s">
        <v>28</v>
      </c>
      <c r="F37" s="341">
        <v>1000000</v>
      </c>
      <c r="G37" s="341">
        <f t="shared" ref="G37" si="1">F37</f>
        <v>1000000</v>
      </c>
      <c r="H37" s="47" t="s">
        <v>320</v>
      </c>
      <c r="I37" s="47" t="s">
        <v>346</v>
      </c>
      <c r="J37" s="50"/>
      <c r="K37" s="142" t="s">
        <v>179</v>
      </c>
      <c r="L37" s="85">
        <f>IF(Calculator!$D$35&lt;=$F37,0,VLOOKUP(IF(Calculator!$D$10=TRUE,IF(Calculator!$D$14=TRUE,Calculator!$D$35-'State Details'!$F37,Calculator!$D$35),Calculator!$D$35),StateTaxes,2)+((IF(Calculator!$D$10=TRUE,IF(Calculator!$D$14=TRUE,Calculator!$D$35-'State Details'!$F37,Calculator!$D$35),Calculator!$D$35)-VLOOKUP(IF(Calculator!$D$10=TRUE,IF(Calculator!$D$14=TRUE,Calculator!$D$35-'State Details'!$F37,Calculator!$D$35),Calculator!$D$35),StateTaxes,1))*VLOOKUP(IF(Calculator!$D$10=TRUE,IF(Calculator!$D$14=TRUE,Calculator!$D$35-'State Details'!$F37,Calculator!$D$35),Calculator!$D$35),StateTaxes,3)))</f>
        <v>1693360</v>
      </c>
      <c r="M37" s="85">
        <f ca="1">IF(Calculator!$X$35&lt;=$G37,0,VLOOKUP(IF(Calculator!$D$10=TRUE,IF(Calculator!$D$14=TRUE,Calculator!$X$35-'State Details'!$G37,Calculator!$X$35),Calculator!$X$35),StateTaxes,2)+((IF(Calculator!$D$10=TRUE,IF(Calculator!$D$14=TRUE,Calculator!$X$35-'State Details'!$G37,Calculator!$X$35),Calculator!$X$35)-VLOOKUP(IF(Calculator!$D$10=TRUE,IF(Calculator!$D$14=TRUE,Calculator!$X$35-'State Details'!$G37,Calculator!$X$35),Calculator!$X$35),StateTaxes,1))*VLOOKUP(IF(Calculator!$D$10=TRUE,IF(Calculator!$D$14=TRUE,Calculator!$X$35-'State Details'!$G37,Calculator!$X$35),Calculator!$X$35),StateTaxes,3)))</f>
        <v>4066569.0013239062</v>
      </c>
      <c r="N37" s="49">
        <v>0</v>
      </c>
      <c r="O37" s="49">
        <v>0</v>
      </c>
      <c r="P37" s="150">
        <f>IF(IF(Calculator!$D$14=TRUE,'Additional Input'!$D$30+'Additional Input'!$D$21-'State Details'!F37,'Additional Input'!$D$30+'Additional Input'!$D$21)&lt;=0,0,IF(Calculator!$D$14=TRUE,'Additional Input'!$D$30+'Additional Input'!$D$21-'State Details'!F37,'Additional Input'!$D$30+'Additional Input'!$D$21))</f>
        <v>14000000</v>
      </c>
      <c r="Q37" s="150">
        <f ca="1">IF(IF(Calculator!$D$14=TRUE,'Additional Input'!$F$31+'Additional Input'!$D$21-'State Details'!G37,'Additional Input'!$F$31+'Additional Input'!$D$21)&lt;=0,0,IF(Calculator!$D$14=TRUE,'Additional Input'!$F$31+'Additional Input'!$D$21-'State Details'!G37,'Additional Input'!$F$31+'Additional Input'!$D$21))</f>
        <v>28748556.258274414</v>
      </c>
      <c r="R37" s="13" t="s">
        <v>156</v>
      </c>
      <c r="S37" s="13" t="s">
        <v>156</v>
      </c>
      <c r="T37" s="13" t="s">
        <v>156</v>
      </c>
      <c r="U37" s="13" t="s">
        <v>289</v>
      </c>
      <c r="V37" s="13" t="s">
        <v>290</v>
      </c>
      <c r="W37" s="13" t="s">
        <v>289</v>
      </c>
      <c r="X37" s="13" t="s">
        <v>290</v>
      </c>
    </row>
    <row r="38" spans="1:24" ht="14.25" customHeight="1">
      <c r="A38" s="47" t="s">
        <v>81</v>
      </c>
      <c r="B38" s="73">
        <v>-2</v>
      </c>
      <c r="C38" s="48" t="s">
        <v>82</v>
      </c>
      <c r="D38" s="47" t="s">
        <v>15</v>
      </c>
      <c r="E38" s="342" t="s">
        <v>28</v>
      </c>
      <c r="F38" s="343">
        <f>'Additional Input'!$O$13</f>
        <v>5250000</v>
      </c>
      <c r="G38" s="344">
        <f>Calculator!$F$29</f>
        <v>7800000</v>
      </c>
      <c r="H38" s="47" t="s">
        <v>319</v>
      </c>
      <c r="I38" s="47" t="s">
        <v>346</v>
      </c>
      <c r="J38" s="50"/>
      <c r="K38" s="142" t="s">
        <v>179</v>
      </c>
      <c r="L38" s="85">
        <f>IF(N38&gt;MIN(U38,W38),0,MIN(U38,W38))</f>
        <v>1016832</v>
      </c>
      <c r="M38" s="85">
        <f ca="1">IF(O38&gt;MIN(V38,X38),0,MIN(V38,X38))</f>
        <v>2978569.0013239062</v>
      </c>
      <c r="N38" s="49">
        <v>0</v>
      </c>
      <c r="O38" s="49">
        <v>0</v>
      </c>
      <c r="P38" s="150">
        <f>IF(IF(Calculator!$D$14=TRUE,'Additional Input'!$D$30+'Additional Input'!$D$21-'State Details'!F38,'Additional Input'!$D$30+'Additional Input'!$D$21)&lt;=0,0,IF(Calculator!$D$14=TRUE,'Additional Input'!$D$30+'Additional Input'!$D$21-'State Details'!F38,'Additional Input'!$D$30+'Additional Input'!$D$21))</f>
        <v>9750000</v>
      </c>
      <c r="Q38" s="150">
        <f ca="1">IF(IF(Calculator!$D$14=TRUE,'Additional Input'!$F$31+'Additional Input'!$D$21-'State Details'!G38,'Additional Input'!$F$31+'Additional Input'!$D$21)&lt;=0,0,IF(Calculator!$D$14=TRUE,'Additional Input'!$F$31+'Additional Input'!$D$21-'State Details'!G38,'Additional Input'!$F$31+'Additional Input'!$D$21))</f>
        <v>21948556.258274414</v>
      </c>
      <c r="R38" s="13" t="s">
        <v>156</v>
      </c>
      <c r="S38" s="13" t="s">
        <v>156</v>
      </c>
      <c r="T38" s="13" t="s">
        <v>156</v>
      </c>
      <c r="U38" s="16">
        <f>IF(Calculator!$D$35&lt;=$F38,0,VLOOKUP(IF(Calculator!$D$10=TRUE,IF(Calculator!$D$14=TRUE,Calculator!$D$35-'State Details'!$F38,Calculator!$D$35),Calculator!$D$35),StateTaxes,2)+((IF(Calculator!$D$10=TRUE,IF(Calculator!$D$14=TRUE,Calculator!$D$35-'State Details'!$F38,Calculator!$D$35),Calculator!$D$35)-VLOOKUP(IF(Calculator!$D$10=TRUE,IF(Calculator!$D$14=TRUE,Calculator!$D$35-'State Details'!$F38,Calculator!$D$35),Calculator!$D$35),StateTaxes,1))*VLOOKUP(IF(Calculator!$D$10=TRUE,IF(Calculator!$D$14=TRUE,Calculator!$D$35-'State Details'!$F38,Calculator!$D$35),Calculator!$D$35),StateTaxes,3)))</f>
        <v>1016832</v>
      </c>
      <c r="V38" s="16">
        <f ca="1">IF(Calculator!$X$35&lt;=$G38,0,VLOOKUP(IF(Calculator!$D$10=TRUE,IF(Calculator!$D$14=TRUE,Calculator!$X$35-'State Details'!$G38,Calculator!$X$35),Calculator!$X$35),StateTaxes,2)+((IF(Calculator!$D$10=TRUE,IF(Calculator!$D$14=TRUE,Calculator!$X$35-'State Details'!$G38,Calculator!$X$35),Calculator!$X$35)-VLOOKUP(IF(Calculator!$D$10=TRUE,IF(Calculator!$D$14=TRUE,Calculator!$X$35-'State Details'!$G38,Calculator!$X$35),Calculator!$X$35),StateTaxes,1))*VLOOKUP(IF(Calculator!$D$10=TRUE,IF(Calculator!$D$14=TRUE,Calculator!$X$35-'State Details'!$G38,Calculator!$X$35),Calculator!$X$35),StateTaxes,3)))</f>
        <v>2978569.0013239062</v>
      </c>
      <c r="W38" s="69">
        <f>IF((IF(Calculator!$D$10=TRUE,Calculator!$D$35-Calculator!$D$37,Calculator!$D$35)-'State Details'!$F$38)*0.35&lt;0,0,(IF(Calculator!$D$10=TRUE,Calculator!$D$35-Calculator!$D$37,Calculator!$D$35)-'State Details'!$F$38)*0.35)</f>
        <v>1545600</v>
      </c>
      <c r="X38" s="69">
        <f ca="1">IF((IF(Calculator!$D$10=TRUE,Calculator!$X$35-Calculator!$X$37,Calculator!$X$35)-'State Details'!$G$38)*0.35&lt;0,0,(IF(Calculator!$D$10=TRUE,Calculator!$X$35-Calculator!$X$37,Calculator!$X$35)-'State Details'!$G$38)*0.35)</f>
        <v>7331994.6903960444</v>
      </c>
    </row>
    <row r="39" spans="1:24" ht="14.25" customHeight="1">
      <c r="A39" s="47" t="s">
        <v>83</v>
      </c>
      <c r="B39" s="73">
        <v>-1</v>
      </c>
      <c r="C39" s="48" t="s">
        <v>84</v>
      </c>
      <c r="D39" s="47" t="s">
        <v>15</v>
      </c>
      <c r="E39" s="47"/>
      <c r="F39" s="81"/>
      <c r="G39" s="81"/>
      <c r="H39" s="47" t="s">
        <v>321</v>
      </c>
      <c r="I39" s="47" t="s">
        <v>346</v>
      </c>
      <c r="J39" s="50"/>
      <c r="K39" s="142"/>
      <c r="L39" s="49">
        <v>0</v>
      </c>
      <c r="M39" s="49">
        <v>0</v>
      </c>
      <c r="N39" s="49">
        <v>0</v>
      </c>
      <c r="O39" s="49">
        <v>0</v>
      </c>
      <c r="P39" s="150"/>
      <c r="Q39" s="150"/>
      <c r="R39" s="13" t="s">
        <v>156</v>
      </c>
      <c r="S39" s="13" t="s">
        <v>156</v>
      </c>
      <c r="T39" s="13" t="s">
        <v>156</v>
      </c>
    </row>
    <row r="40" spans="1:24" ht="14.25" customHeight="1">
      <c r="A40" s="47" t="s">
        <v>85</v>
      </c>
      <c r="B40" s="73">
        <v>-1</v>
      </c>
      <c r="C40" s="48" t="s">
        <v>513</v>
      </c>
      <c r="D40" s="47" t="s">
        <v>15</v>
      </c>
      <c r="E40" s="47"/>
      <c r="F40" s="81"/>
      <c r="G40" s="81"/>
      <c r="H40" s="47" t="s">
        <v>321</v>
      </c>
      <c r="I40" s="47" t="s">
        <v>346</v>
      </c>
      <c r="J40" s="50"/>
      <c r="K40" s="142"/>
      <c r="L40" s="49">
        <v>0</v>
      </c>
      <c r="M40" s="49">
        <v>0</v>
      </c>
      <c r="N40" s="49">
        <v>0</v>
      </c>
      <c r="O40" s="49">
        <v>0</v>
      </c>
      <c r="P40" s="150"/>
      <c r="Q40" s="150"/>
      <c r="R40" s="13" t="s">
        <v>156</v>
      </c>
      <c r="S40" s="13" t="s">
        <v>156</v>
      </c>
      <c r="T40" s="13" t="s">
        <v>156</v>
      </c>
    </row>
    <row r="41" spans="1:24" ht="14.25" customHeight="1">
      <c r="A41" s="47" t="s">
        <v>86</v>
      </c>
      <c r="B41" s="73">
        <v>-1</v>
      </c>
      <c r="C41" s="48" t="s">
        <v>87</v>
      </c>
      <c r="D41" s="47" t="s">
        <v>15</v>
      </c>
      <c r="E41" s="47"/>
      <c r="F41" s="83"/>
      <c r="G41" s="83"/>
      <c r="H41" s="47" t="s">
        <v>321</v>
      </c>
      <c r="I41" s="47" t="s">
        <v>346</v>
      </c>
      <c r="J41" s="50"/>
      <c r="K41" s="142"/>
      <c r="L41" s="49">
        <v>0</v>
      </c>
      <c r="M41" s="49">
        <v>0</v>
      </c>
      <c r="N41" s="49">
        <v>0</v>
      </c>
      <c r="O41" s="49">
        <v>0</v>
      </c>
      <c r="P41" s="150"/>
      <c r="Q41" s="150"/>
      <c r="R41" s="13" t="s">
        <v>156</v>
      </c>
      <c r="S41" s="13" t="s">
        <v>156</v>
      </c>
      <c r="T41" s="13" t="s">
        <v>156</v>
      </c>
    </row>
    <row r="42" spans="1:24" ht="14.25" customHeight="1">
      <c r="A42" s="47" t="s">
        <v>88</v>
      </c>
      <c r="B42" s="75" t="str">
        <f>3&amp;", "&amp;7</f>
        <v>3, 7</v>
      </c>
      <c r="C42" s="48" t="s">
        <v>89</v>
      </c>
      <c r="D42" s="47" t="s">
        <v>15</v>
      </c>
      <c r="E42" s="340" t="s">
        <v>28</v>
      </c>
      <c r="F42" s="86">
        <v>1000000</v>
      </c>
      <c r="G42" s="341">
        <f>F42</f>
        <v>1000000</v>
      </c>
      <c r="H42" s="47" t="s">
        <v>320</v>
      </c>
      <c r="I42" s="47" t="s">
        <v>346</v>
      </c>
      <c r="J42" s="50"/>
      <c r="K42" s="142" t="s">
        <v>180</v>
      </c>
      <c r="L42" s="833">
        <f>IF(P42+Calculator!$J$14-F42&lt;=0,0,VLOOKUP(P42+Calculator!$J$14,OR,3)+(P42+Calculator!$J$14-VLOOKUP(P42+Calculator!$J$14,OR,1))*VLOOKUP(P42+Calculator!$J$14,OR,4))</f>
        <v>1742500</v>
      </c>
      <c r="M42" s="833">
        <f ca="1">IF(Q42+Calculator!$J$14-G42&lt;=0,0,VLOOKUP(Q42+Calculator!$J$14,OR,3)+(Q42+Calculator!$J$14-VLOOKUP(Q42+Calculator!$J$14,OR,1))*VLOOKUP(Q42+Calculator!$J$14,OR,4))</f>
        <v>4102269.0013239062</v>
      </c>
      <c r="N42" s="49">
        <v>0</v>
      </c>
      <c r="O42" s="49">
        <v>0</v>
      </c>
      <c r="P42" s="150">
        <f>IF(IF(Calculator!$D$14=TRUE,'Additional Input'!$D$30+'Additional Input'!$D$21-'State Details'!F42,'Additional Input'!$D$30+'Additional Input'!$D$21)&lt;=0,0,IF(Calculator!$D$14=TRUE,'Additional Input'!$D$30+'Additional Input'!$D$21-'State Details'!F42,'Additional Input'!$D$30+'Additional Input'!$D$21))</f>
        <v>14000000</v>
      </c>
      <c r="Q42" s="150">
        <f ca="1">IF(IF(Calculator!$D$14=TRUE,'Additional Input'!$F$31+'Additional Input'!$D$21-'State Details'!G42,'Additional Input'!$F$31+'Additional Input'!$D$21)&lt;=0,0,IF(Calculator!$D$14=TRUE,'Additional Input'!$F$31+'Additional Input'!$D$21-'State Details'!G42,'Additional Input'!$F$31+'Additional Input'!$D$21))</f>
        <v>28748556.258274414</v>
      </c>
      <c r="R42" s="13" t="s">
        <v>156</v>
      </c>
      <c r="S42" s="13" t="s">
        <v>156</v>
      </c>
      <c r="T42" s="13" t="s">
        <v>156</v>
      </c>
    </row>
    <row r="43" spans="1:24" ht="14.25" customHeight="1">
      <c r="A43" s="47" t="s">
        <v>90</v>
      </c>
      <c r="B43" s="73">
        <v>-1</v>
      </c>
      <c r="C43" s="48" t="s">
        <v>91</v>
      </c>
      <c r="D43" s="47" t="s">
        <v>15</v>
      </c>
      <c r="E43" s="47"/>
      <c r="F43" s="145"/>
      <c r="G43" s="145"/>
      <c r="H43" s="47" t="s">
        <v>320</v>
      </c>
      <c r="I43" s="340" t="s">
        <v>28</v>
      </c>
      <c r="J43" s="50">
        <v>3500</v>
      </c>
      <c r="K43" s="142"/>
      <c r="L43" s="49">
        <v>0</v>
      </c>
      <c r="M43" s="49">
        <v>0</v>
      </c>
      <c r="N43" s="86">
        <f>IF(Calculator!$D$35&lt;=$J43,0,IF(Calculator!$D$15=1,VLOOKUP("PA",Inheritance,2,FALSE)*(Calculator!$D$35+Calculator!$J$14),IF(Calculator!$D$15=2,VLOOKUP("PA",Inheritance,3,FALSE)*(Calculator!$D$35+Calculator!$J$14),VLOOKUP("PA",Inheritance,4,FALSE)*(Calculator!$D$35+Calculator!$J$14))))</f>
        <v>671220</v>
      </c>
      <c r="O43" s="86">
        <f ca="1">IF(Calculator!$X$35&lt;=$J43,0,IF(Calculator!$D$15=1,VLOOKUP("PA",Inheritance,2,FALSE)*(Calculator!$X$35+Calculator!$J$14),IF(Calculator!$D$15=2,VLOOKUP("PA",Inheritance,3,FALSE)*(Calculator!$X$35+Calculator!$J$14),VLOOKUP("PA",Inheritance,4,FALSE)*(Calculator!$X$35+Calculator!$J$14))))</f>
        <v>1338685.0316223486</v>
      </c>
      <c r="P43" s="155"/>
      <c r="Q43" s="155"/>
      <c r="R43" s="89" t="s">
        <v>191</v>
      </c>
      <c r="S43" s="89" t="s">
        <v>160</v>
      </c>
      <c r="T43" s="89" t="s">
        <v>118</v>
      </c>
    </row>
    <row r="44" spans="1:24" ht="14.25" customHeight="1">
      <c r="A44" s="47" t="s">
        <v>92</v>
      </c>
      <c r="B44" s="75" t="str">
        <f>2&amp;","&amp;3&amp;","&amp;6</f>
        <v>2,3,6</v>
      </c>
      <c r="C44" s="48" t="s">
        <v>93</v>
      </c>
      <c r="D44" s="47" t="s">
        <v>15</v>
      </c>
      <c r="E44" s="342" t="s">
        <v>28</v>
      </c>
      <c r="F44" s="343">
        <v>910725</v>
      </c>
      <c r="G44" s="344">
        <f>F44*(1+Calculator!$D$29)^'Additional Input'!$D$31</f>
        <v>1353289.4422023867</v>
      </c>
      <c r="H44" s="47" t="s">
        <v>320</v>
      </c>
      <c r="I44" s="47" t="s">
        <v>346</v>
      </c>
      <c r="J44" s="49"/>
      <c r="K44" s="142" t="s">
        <v>179</v>
      </c>
      <c r="L44" s="85">
        <f>IF(Calculator!$D$35&lt;=$F44,0,VLOOKUP(IF(Calculator!$D$10=TRUE,IF(Calculator!$D$14=TRUE,Calculator!$D$35-'State Details'!$F44,Calculator!$D$35),Calculator!$D$35),StateTaxes,2)+((IF(Calculator!$D$10=TRUE,IF(Calculator!$D$14=TRUE,Calculator!$D$35-'State Details'!$F44,Calculator!$D$35),Calculator!$D$35)-VLOOKUP(IF(Calculator!$D$10=TRUE,IF(Calculator!$D$14=TRUE,Calculator!$D$35-'State Details'!$F44,Calculator!$D$35),Calculator!$D$35),StateTaxes,1))*VLOOKUP(IF(Calculator!$D$10=TRUE,IF(Calculator!$D$14=TRUE,Calculator!$D$35-'State Details'!$F44,Calculator!$D$35),Calculator!$D$35),StateTaxes,3)))</f>
        <v>1707644</v>
      </c>
      <c r="M44" s="85">
        <f ca="1">IF(Calculator!$X$35&lt;=$G44,0,VLOOKUP(IF(Calculator!$D$10=TRUE,IF(Calculator!$D$14=TRUE,Calculator!$X$35-'State Details'!$G44,Calculator!$X$35),Calculator!$X$35),StateTaxes,2)+((IF(Calculator!$D$10=TRUE,IF(Calculator!$D$14=TRUE,Calculator!$X$35-'State Details'!$G44,Calculator!$X$35),Calculator!$X$35)-VLOOKUP(IF(Calculator!$D$10=TRUE,IF(Calculator!$D$14=TRUE,Calculator!$X$35-'State Details'!$G44,Calculator!$X$35),Calculator!$X$35),StateTaxes,1))*VLOOKUP(IF(Calculator!$D$10=TRUE,IF(Calculator!$D$14=TRUE,Calculator!$X$35-'State Details'!$G44,Calculator!$X$35),Calculator!$X$35),StateTaxes,3)))</f>
        <v>4010042.6905715247</v>
      </c>
      <c r="N44" s="49">
        <v>0</v>
      </c>
      <c r="O44" s="49">
        <v>0</v>
      </c>
      <c r="P44" s="150">
        <f>IF(IF(Calculator!$D$14=TRUE,'Additional Input'!$D$30+'Additional Input'!$D$21-'State Details'!F44,'Additional Input'!$D$30+'Additional Input'!$D$21)&lt;=0,0,IF(Calculator!$D$14=TRUE,'Additional Input'!$D$30+'Additional Input'!$D$21-'State Details'!F44,'Additional Input'!$D$30+'Additional Input'!$D$21))</f>
        <v>14089275</v>
      </c>
      <c r="Q44" s="150">
        <f ca="1">IF(IF(Calculator!$D$14=TRUE,'Additional Input'!$F$31+'Additional Input'!$D$21-'State Details'!G44,'Additional Input'!$F$31+'Additional Input'!$D$21)&lt;=0,0,IF(Calculator!$D$14=TRUE,'Additional Input'!$F$31+'Additional Input'!$D$21-'State Details'!G44,'Additional Input'!$F$31+'Additional Input'!$D$21))</f>
        <v>28395266.816072028</v>
      </c>
      <c r="R44" s="13" t="s">
        <v>156</v>
      </c>
      <c r="S44" s="13" t="s">
        <v>156</v>
      </c>
      <c r="T44" s="13" t="s">
        <v>156</v>
      </c>
    </row>
    <row r="45" spans="1:24" ht="14.25" customHeight="1">
      <c r="A45" s="47" t="s">
        <v>94</v>
      </c>
      <c r="B45" s="73">
        <v>-1</v>
      </c>
      <c r="C45" s="48" t="s">
        <v>95</v>
      </c>
      <c r="D45" s="47" t="s">
        <v>15</v>
      </c>
      <c r="E45" s="47"/>
      <c r="F45" s="81"/>
      <c r="G45" s="81"/>
      <c r="H45" s="47" t="s">
        <v>321</v>
      </c>
      <c r="I45" s="47" t="s">
        <v>346</v>
      </c>
      <c r="J45" s="49"/>
      <c r="K45" s="142"/>
      <c r="L45" s="49">
        <v>0</v>
      </c>
      <c r="M45" s="49">
        <v>0</v>
      </c>
      <c r="N45" s="49">
        <v>0</v>
      </c>
      <c r="O45" s="49">
        <v>0</v>
      </c>
      <c r="P45" s="150"/>
      <c r="Q45" s="150"/>
      <c r="R45" s="13" t="s">
        <v>156</v>
      </c>
      <c r="S45" s="13" t="s">
        <v>156</v>
      </c>
      <c r="T45" s="13" t="s">
        <v>156</v>
      </c>
    </row>
    <row r="46" spans="1:24" ht="14.25" customHeight="1">
      <c r="A46" s="47" t="s">
        <v>96</v>
      </c>
      <c r="B46" s="73">
        <v>-1</v>
      </c>
      <c r="C46" s="48" t="s">
        <v>97</v>
      </c>
      <c r="D46" s="47" t="s">
        <v>15</v>
      </c>
      <c r="E46" s="47"/>
      <c r="F46" s="82"/>
      <c r="G46" s="82"/>
      <c r="H46" s="47" t="s">
        <v>321</v>
      </c>
      <c r="I46" s="47" t="s">
        <v>346</v>
      </c>
      <c r="J46" s="49"/>
      <c r="K46" s="142"/>
      <c r="L46" s="49">
        <v>0</v>
      </c>
      <c r="M46" s="49">
        <v>0</v>
      </c>
      <c r="N46" s="49">
        <v>0</v>
      </c>
      <c r="O46" s="49">
        <v>0</v>
      </c>
      <c r="P46" s="150"/>
      <c r="Q46" s="150"/>
      <c r="R46" s="13" t="s">
        <v>156</v>
      </c>
      <c r="S46" s="13" t="s">
        <v>156</v>
      </c>
      <c r="T46" s="13" t="s">
        <v>156</v>
      </c>
    </row>
    <row r="47" spans="1:24" ht="14.25" customHeight="1">
      <c r="A47" s="47" t="s">
        <v>98</v>
      </c>
      <c r="B47" s="75" t="str">
        <f>3&amp;","&amp;4&amp;","&amp;7</f>
        <v>3,4,7</v>
      </c>
      <c r="C47" s="48" t="s">
        <v>99</v>
      </c>
      <c r="D47" s="47" t="s">
        <v>15</v>
      </c>
      <c r="E47" s="340" t="s">
        <v>28</v>
      </c>
      <c r="F47" s="341">
        <f>VLOOKUP('Additional Input'!$N$13,TNExemption,2)</f>
        <v>1250000</v>
      </c>
      <c r="G47" s="341">
        <f>VLOOKUP('Additional Input'!$N$13+Calculator!$F$22,TNExemption,2)</f>
        <v>0</v>
      </c>
      <c r="H47" s="47" t="s">
        <v>320</v>
      </c>
      <c r="I47" s="340" t="s">
        <v>28</v>
      </c>
      <c r="J47" s="49"/>
      <c r="K47" s="144" t="s">
        <v>168</v>
      </c>
      <c r="L47" s="85">
        <f>IF(N47&gt;U47,0,U47-N47)</f>
        <v>0</v>
      </c>
      <c r="M47" s="85">
        <f ca="1">IF(O47&gt;V47,0,V47-O47)</f>
        <v>4226569.0013239067</v>
      </c>
      <c r="N47" s="833">
        <f>IF(P47+Calculator!$J$14-F47&lt;=0,0,VLOOKUP(P47+Calculator!$J$14-F47,TN,3)+(P47+Calculator!$J$14-F47-VLOOKUP(P47+Calculator!$J$14-F47,TN,1))*VLOOKUP(P47+Calculator!$J$14-F47,TN,4))</f>
        <v>1175900</v>
      </c>
      <c r="O47" s="177">
        <f>IF(Q47+Calculator!$J$14-G47&lt;=0,0,VLOOKUP(Q47+Calculator!$J$14-G47,TN,3)+(Q47+Calculator!$J$14-G47-VLOOKUP(Q47+Calculator!$J$14-G47,TN,1))*VLOOKUP(Q47+Calculator!$J$14-G47,TN,4))</f>
        <v>0</v>
      </c>
      <c r="P47" s="150">
        <f>IF(IF(Calculator!$D$14=TRUE,'Additional Input'!$D$30+'Additional Input'!$D$21-'State Details'!F47,'Additional Input'!$D$30+'Additional Input'!$D$21)&lt;=0,0,IF(Calculator!$D$14=TRUE,'Additional Input'!$D$30+'Additional Input'!$D$21-'State Details'!F47,'Additional Input'!$D$30+'Additional Input'!$D$21))</f>
        <v>13750000</v>
      </c>
      <c r="Q47" s="150">
        <f>IF(('Additional Input'!$N$13+Calculator!$F$22)&gt;2015,0,IF(IF(Calculator!$D$14=TRUE,'Additional Input'!$F$31+'Additional Input'!$D$21-'State Details'!G47,'Additional Input'!$F$31+'Additional Input'!$D$21)&lt;=0,0,IF(Calculator!$D$14=TRUE,'Additional Input'!$F$31+'Additional Input'!$D$21-'State Details'!G47,'Additional Input'!$F$31+'Additional Input'!$D$21)))</f>
        <v>0</v>
      </c>
      <c r="R47" s="89" t="s">
        <v>186</v>
      </c>
      <c r="S47" s="89" t="s">
        <v>186</v>
      </c>
      <c r="T47" s="89" t="s">
        <v>186</v>
      </c>
      <c r="U47" s="85">
        <v>0</v>
      </c>
      <c r="V47" s="85">
        <f ca="1">IF(Calculator!$X$35&lt;=$G47,0,VLOOKUP(IF(Calculator!$D$10=TRUE,IF(Calculator!$D$14=TRUE,Calculator!$X$35-'State Details'!$G47,Calculator!$X$35),Calculator!$X$35),StateTaxes,2)+((IF(Calculator!$D$10=TRUE,IF(Calculator!$D$14=TRUE,Calculator!$X$35-'State Details'!$G47,Calculator!$X$35),Calculator!$X$35)-VLOOKUP(IF(Calculator!$D$10=TRUE,IF(Calculator!$D$14=TRUE,Calculator!$X$35-'State Details'!$G47,Calculator!$X$35),Calculator!$X$35),StateTaxes,1))*VLOOKUP(IF(Calculator!$D$10=TRUE,IF(Calculator!$D$14=TRUE,Calculator!$X$35-'State Details'!$G47,Calculator!$X$35),Calculator!$X$35),StateTaxes,3)))</f>
        <v>4226569.0013239067</v>
      </c>
      <c r="W47" s="13" t="s">
        <v>194</v>
      </c>
    </row>
    <row r="48" spans="1:24" ht="14.25" customHeight="1">
      <c r="A48" s="47" t="s">
        <v>100</v>
      </c>
      <c r="B48" s="73">
        <v>-1</v>
      </c>
      <c r="C48" s="48" t="s">
        <v>101</v>
      </c>
      <c r="D48" s="47" t="s">
        <v>15</v>
      </c>
      <c r="E48" s="47"/>
      <c r="F48" s="82"/>
      <c r="G48" s="82"/>
      <c r="H48" s="47" t="s">
        <v>321</v>
      </c>
      <c r="I48" s="47" t="s">
        <v>346</v>
      </c>
      <c r="J48" s="49"/>
      <c r="K48" s="142"/>
      <c r="L48" s="49">
        <v>0</v>
      </c>
      <c r="M48" s="49">
        <v>0</v>
      </c>
      <c r="N48" s="49">
        <v>0</v>
      </c>
      <c r="O48" s="49">
        <v>0</v>
      </c>
      <c r="P48" s="150"/>
      <c r="Q48" s="150"/>
      <c r="R48" s="13" t="s">
        <v>156</v>
      </c>
      <c r="S48" s="13" t="s">
        <v>156</v>
      </c>
      <c r="T48" s="13" t="s">
        <v>156</v>
      </c>
    </row>
    <row r="49" spans="1:24" ht="14.25" customHeight="1">
      <c r="A49" s="47" t="s">
        <v>102</v>
      </c>
      <c r="B49" s="73">
        <v>-1</v>
      </c>
      <c r="C49" s="48" t="s">
        <v>103</v>
      </c>
      <c r="D49" s="47" t="s">
        <v>15</v>
      </c>
      <c r="E49" s="47"/>
      <c r="F49" s="82"/>
      <c r="G49" s="82"/>
      <c r="H49" s="47" t="s">
        <v>321</v>
      </c>
      <c r="I49" s="47" t="s">
        <v>346</v>
      </c>
      <c r="J49" s="49"/>
      <c r="K49" s="142"/>
      <c r="L49" s="49">
        <v>0</v>
      </c>
      <c r="M49" s="49">
        <v>0</v>
      </c>
      <c r="N49" s="49">
        <v>0</v>
      </c>
      <c r="O49" s="49">
        <v>0</v>
      </c>
      <c r="P49" s="150"/>
      <c r="Q49" s="150"/>
      <c r="R49" s="13" t="s">
        <v>156</v>
      </c>
      <c r="S49" s="13" t="s">
        <v>156</v>
      </c>
      <c r="T49" s="13" t="s">
        <v>156</v>
      </c>
      <c r="U49" s="13" t="s">
        <v>289</v>
      </c>
      <c r="V49" s="13" t="s">
        <v>290</v>
      </c>
      <c r="W49" s="13" t="s">
        <v>289</v>
      </c>
      <c r="X49" s="13" t="s">
        <v>290</v>
      </c>
    </row>
    <row r="50" spans="1:24" ht="14.25" customHeight="1">
      <c r="A50" s="47" t="s">
        <v>104</v>
      </c>
      <c r="B50" s="840">
        <f>-2</f>
        <v>-2</v>
      </c>
      <c r="C50" s="48" t="s">
        <v>105</v>
      </c>
      <c r="D50" s="47" t="s">
        <v>15</v>
      </c>
      <c r="E50" s="340" t="s">
        <v>28</v>
      </c>
      <c r="F50" s="736">
        <v>2750000</v>
      </c>
      <c r="G50" s="736">
        <v>2750000</v>
      </c>
      <c r="H50" s="47" t="s">
        <v>319</v>
      </c>
      <c r="I50" s="47" t="s">
        <v>346</v>
      </c>
      <c r="J50" s="49"/>
      <c r="K50" s="142" t="s">
        <v>179</v>
      </c>
      <c r="L50" s="85">
        <f>IF(N50&gt;MIN(U50,W50),0,MIN(U50,W50))</f>
        <v>1413360</v>
      </c>
      <c r="M50" s="85">
        <f ca="1">IF(O50&gt;MIN(V50,X50),0,MIN(V50,X50))</f>
        <v>3786569.0013239062</v>
      </c>
      <c r="N50" s="49">
        <v>0</v>
      </c>
      <c r="O50" s="49">
        <v>0</v>
      </c>
      <c r="P50" s="150">
        <f>IF(IF(Calculator!$D$14=TRUE,'Additional Input'!$D$30+'Additional Input'!$D$21-'State Details'!F50,'Additional Input'!$D$30+'Additional Input'!$D$21)&lt;=0,0,IF(Calculator!$D$14=TRUE,'Additional Input'!$D$30+'Additional Input'!$D$21-'State Details'!F50,'Additional Input'!$D$30+'Additional Input'!$D$21))</f>
        <v>12250000</v>
      </c>
      <c r="Q50" s="150">
        <f ca="1">IF(IF(Calculator!$D$14=TRUE,'Additional Input'!$F$31+'Additional Input'!$D$21-'State Details'!G50,'Additional Input'!$F$31+'Additional Input'!$D$21)&lt;=0,0,IF(Calculator!$D$14=TRUE,'Additional Input'!$F$31+'Additional Input'!$D$21-'State Details'!G50,'Additional Input'!$F$31+'Additional Input'!$D$21))</f>
        <v>26998556.258274414</v>
      </c>
      <c r="R50" s="13" t="s">
        <v>156</v>
      </c>
      <c r="S50" s="13" t="s">
        <v>156</v>
      </c>
      <c r="T50" s="13" t="s">
        <v>156</v>
      </c>
      <c r="U50" s="16">
        <f>IF(Calculator!$D$35&lt;=$F50,0,VLOOKUP(IF(Calculator!$D$10=TRUE,IF(Calculator!$D$14=TRUE,Calculator!$D$35-'State Details'!$F50,Calculator!$D$35),Calculator!$D$35),StateTaxes,2)+((IF(Calculator!$D$10=TRUE,IF(Calculator!$D$14=TRUE,Calculator!$D$35-'State Details'!$F50,Calculator!$D$35),Calculator!$D$35)-VLOOKUP(IF(Calculator!$D$10=TRUE,IF(Calculator!$D$14=TRUE,Calculator!$D$35-'State Details'!$F50,Calculator!$D$35),Calculator!$D$35),StateTaxes,1))*VLOOKUP(IF(Calculator!$D$10=TRUE,IF(Calculator!$D$14=TRUE,Calculator!$D$35-'State Details'!$F50,Calculator!$D$35),Calculator!$D$35),StateTaxes,3)))</f>
        <v>1413360</v>
      </c>
      <c r="V50" s="16">
        <f ca="1">IF(Calculator!$X$35&lt;=$G50,0,VLOOKUP(IF(Calculator!$D$10=TRUE,IF(Calculator!$D$14=TRUE,Calculator!$X$35-'State Details'!$G50,Calculator!$X$35),Calculator!$X$35),StateTaxes,2)+((IF(Calculator!$D$10=TRUE,IF(Calculator!$D$14=TRUE,Calculator!$X$35-'State Details'!$G50,Calculator!$X$35),Calculator!$X$35)-VLOOKUP(IF(Calculator!$D$10=TRUE,IF(Calculator!$D$14=TRUE,Calculator!$X$35-'State Details'!$G50,Calculator!$X$35),Calculator!$X$35),StateTaxes,1))*VLOOKUP(IF(Calculator!$D$10=TRUE,IF(Calculator!$D$14=TRUE,Calculator!$X$35-'State Details'!$G50,Calculator!$X$35),Calculator!$X$35),StateTaxes,3)))</f>
        <v>3786569.0013239062</v>
      </c>
      <c r="W50" s="174">
        <f>IF((IF(Calculator!$D$10=TRUE,Calculator!$D$35-Calculator!$D$37,Calculator!$D$35)-'State Details'!$F$50)*0.45&lt;0,0,(IF(Calculator!$D$10=TRUE,Calculator!$D$35-Calculator!$D$37,Calculator!$D$35)-'State Details'!$F$50)*0.45)</f>
        <v>3112200</v>
      </c>
      <c r="X50" s="174">
        <f ca="1">IF((IF(Calculator!$D$10=TRUE,Calculator!$X$35-Calculator!$X$37,Calculator!$X$35)-'State Details'!$G$50)*0.45&lt;0,0,(IF(Calculator!$D$10=TRUE,Calculator!$X$35-Calculator!$X$37,Calculator!$X$35)-'State Details'!$G$50)*0.45)</f>
        <v>11699350.316223487</v>
      </c>
    </row>
    <row r="51" spans="1:24" ht="14.25" customHeight="1">
      <c r="A51" s="47" t="s">
        <v>106</v>
      </c>
      <c r="B51" s="839">
        <v>-1</v>
      </c>
      <c r="C51" s="48" t="s">
        <v>107</v>
      </c>
      <c r="D51" s="47" t="s">
        <v>15</v>
      </c>
      <c r="E51" s="47"/>
      <c r="F51" s="82"/>
      <c r="G51" s="82"/>
      <c r="H51" s="47" t="s">
        <v>321</v>
      </c>
      <c r="I51" s="47" t="s">
        <v>346</v>
      </c>
      <c r="J51" s="49"/>
      <c r="K51" s="142"/>
      <c r="L51" s="49">
        <v>0</v>
      </c>
      <c r="M51" s="49">
        <v>0</v>
      </c>
      <c r="N51" s="49">
        <v>0</v>
      </c>
      <c r="O51" s="49">
        <v>0</v>
      </c>
      <c r="P51" s="150"/>
      <c r="Q51" s="150"/>
      <c r="R51" s="13" t="s">
        <v>156</v>
      </c>
      <c r="S51" s="13" t="s">
        <v>156</v>
      </c>
      <c r="T51" s="13" t="s">
        <v>156</v>
      </c>
    </row>
    <row r="52" spans="1:24" ht="14.25" customHeight="1">
      <c r="A52" s="47" t="s">
        <v>108</v>
      </c>
      <c r="B52" s="75" t="str">
        <f>3&amp;", "&amp;7</f>
        <v>3, 7</v>
      </c>
      <c r="C52" s="48" t="s">
        <v>109</v>
      </c>
      <c r="D52" s="47" t="s">
        <v>15</v>
      </c>
      <c r="E52" s="340" t="s">
        <v>28</v>
      </c>
      <c r="F52" s="86">
        <v>2000000</v>
      </c>
      <c r="G52" s="341">
        <f>F52</f>
        <v>2000000</v>
      </c>
      <c r="H52" s="47" t="s">
        <v>320</v>
      </c>
      <c r="I52" s="47" t="s">
        <v>346</v>
      </c>
      <c r="J52" s="49"/>
      <c r="K52" s="142" t="s">
        <v>182</v>
      </c>
      <c r="L52" s="833">
        <f>IF(P52+Calculator!$J$14-F52&lt;=0,0,VLOOKUP(P52+Calculator!$J$14-F52,WA,3)+(P52+Calculator!$J$14-F52-VLOOKUP(P52+Calculator!$J$14-F52,WA,1))*VLOOKUP(P52+Calculator!$J$14-F52,WA,4))</f>
        <v>1820000</v>
      </c>
      <c r="M52" s="833">
        <f ca="1">IF(Q52+Calculator!$J$14-G52&lt;=0,0,VLOOKUP(Q52+Calculator!$J$14-G52,WA,3)+(Q52+Calculator!$J$14-G52-VLOOKUP(Q52+Calculator!$J$14-G52,WA,1))*VLOOKUP(Q52+Calculator!$J$14-G52,WA,4))</f>
        <v>4622225.6890721386</v>
      </c>
      <c r="N52" s="49">
        <v>0</v>
      </c>
      <c r="O52" s="49">
        <v>0</v>
      </c>
      <c r="P52" s="150">
        <f>IF(IF(Calculator!$D$14=TRUE,'Additional Input'!$D$30+'Additional Input'!$D$21-'State Details'!F52,'Additional Input'!$D$30+'Additional Input'!$D$21)&lt;=0,0,IF(Calculator!$D$14=TRUE,'Additional Input'!$D$30+'Additional Input'!$D$21-'State Details'!F52,'Additional Input'!$D$30+'Additional Input'!$D$21))</f>
        <v>13000000</v>
      </c>
      <c r="Q52" s="150">
        <f ca="1">IF(IF(Calculator!$D$14=TRUE,'Additional Input'!$F$31+'Additional Input'!$D$21-'State Details'!G52,'Additional Input'!$F$31+'Additional Input'!$D$21)&lt;=0,0,IF(Calculator!$D$14=TRUE,'Additional Input'!$F$31+'Additional Input'!$D$21-'State Details'!G52,'Additional Input'!$F$31+'Additional Input'!$D$21))</f>
        <v>27748556.258274414</v>
      </c>
      <c r="R52" s="13" t="s">
        <v>156</v>
      </c>
      <c r="S52" s="13" t="s">
        <v>156</v>
      </c>
      <c r="T52" s="13" t="s">
        <v>156</v>
      </c>
    </row>
    <row r="53" spans="1:24" ht="14.25" customHeight="1">
      <c r="A53" s="47" t="s">
        <v>110</v>
      </c>
      <c r="B53" s="73">
        <v>-1</v>
      </c>
      <c r="C53" s="48" t="s">
        <v>111</v>
      </c>
      <c r="D53" s="47" t="s">
        <v>15</v>
      </c>
      <c r="E53" s="47"/>
      <c r="F53" s="82"/>
      <c r="G53" s="82"/>
      <c r="H53" s="47" t="s">
        <v>321</v>
      </c>
      <c r="I53" s="47" t="s">
        <v>346</v>
      </c>
      <c r="J53" s="49"/>
      <c r="K53" s="141"/>
      <c r="L53" s="49">
        <v>0</v>
      </c>
      <c r="M53" s="49">
        <v>0</v>
      </c>
      <c r="N53" s="49">
        <v>0</v>
      </c>
      <c r="O53" s="49">
        <v>0</v>
      </c>
      <c r="P53" s="150"/>
      <c r="Q53" s="150"/>
      <c r="R53" s="13" t="s">
        <v>156</v>
      </c>
      <c r="S53" s="13" t="s">
        <v>156</v>
      </c>
      <c r="T53" s="13" t="s">
        <v>156</v>
      </c>
    </row>
    <row r="54" spans="1:24" ht="14.25" customHeight="1">
      <c r="A54" s="47" t="s">
        <v>112</v>
      </c>
      <c r="B54" s="73">
        <v>-1</v>
      </c>
      <c r="C54" s="48" t="s">
        <v>113</v>
      </c>
      <c r="D54" s="47" t="s">
        <v>15</v>
      </c>
      <c r="E54" s="47"/>
      <c r="F54" s="82"/>
      <c r="G54" s="82"/>
      <c r="H54" s="47" t="s">
        <v>321</v>
      </c>
      <c r="I54" s="47" t="s">
        <v>346</v>
      </c>
      <c r="J54" s="49"/>
      <c r="K54" s="141"/>
      <c r="L54" s="49">
        <v>0</v>
      </c>
      <c r="M54" s="49">
        <v>0</v>
      </c>
      <c r="N54" s="49">
        <v>0</v>
      </c>
      <c r="O54" s="49">
        <v>0</v>
      </c>
      <c r="P54" s="150"/>
      <c r="Q54" s="150"/>
      <c r="R54" s="13" t="s">
        <v>156</v>
      </c>
      <c r="S54" s="13" t="s">
        <v>156</v>
      </c>
      <c r="T54" s="13" t="s">
        <v>156</v>
      </c>
    </row>
    <row r="55" spans="1:24" ht="14.25" customHeight="1">
      <c r="A55" s="47" t="s">
        <v>114</v>
      </c>
      <c r="B55" s="73">
        <v>-1</v>
      </c>
      <c r="C55" s="48" t="s">
        <v>115</v>
      </c>
      <c r="D55" s="47" t="s">
        <v>15</v>
      </c>
      <c r="E55" s="47"/>
      <c r="F55" s="82"/>
      <c r="G55" s="82"/>
      <c r="H55" s="47" t="s">
        <v>321</v>
      </c>
      <c r="I55" s="47" t="s">
        <v>346</v>
      </c>
      <c r="J55" s="49"/>
      <c r="K55" s="141"/>
      <c r="L55" s="49">
        <v>0</v>
      </c>
      <c r="M55" s="49">
        <v>0</v>
      </c>
      <c r="N55" s="49">
        <v>0</v>
      </c>
      <c r="O55" s="49">
        <v>0</v>
      </c>
      <c r="P55" s="150"/>
      <c r="Q55" s="150"/>
      <c r="R55" s="13" t="s">
        <v>156</v>
      </c>
      <c r="S55" s="13" t="s">
        <v>156</v>
      </c>
      <c r="T55" s="13" t="s">
        <v>156</v>
      </c>
    </row>
    <row r="56" spans="1:24" ht="3.75" customHeight="1"/>
    <row r="57" spans="1:24" ht="11.25" customHeight="1">
      <c r="A57" s="17" t="s">
        <v>496</v>
      </c>
      <c r="U57" s="13" t="s">
        <v>195</v>
      </c>
    </row>
    <row r="58" spans="1:24" ht="11.25" customHeight="1">
      <c r="A58" s="17" t="s">
        <v>502</v>
      </c>
    </row>
    <row r="59" spans="1:24" ht="11.25" customHeight="1">
      <c r="A59" s="17" t="s">
        <v>222</v>
      </c>
    </row>
    <row r="60" spans="1:24" ht="11.25" customHeight="1">
      <c r="A60" s="17" t="s">
        <v>187</v>
      </c>
    </row>
    <row r="61" spans="1:24" ht="11.25" customHeight="1">
      <c r="A61" s="17" t="s">
        <v>368</v>
      </c>
    </row>
    <row r="62" spans="1:24" ht="11.25" customHeight="1">
      <c r="A62" s="17" t="s">
        <v>280</v>
      </c>
    </row>
    <row r="63" spans="1:24" ht="11.25" customHeight="1">
      <c r="A63" s="17" t="s">
        <v>503</v>
      </c>
    </row>
    <row r="64" spans="1:24" ht="11.25" customHeight="1">
      <c r="A64" s="71" t="s">
        <v>516</v>
      </c>
    </row>
    <row r="65" spans="1:25" ht="11.25" customHeight="1">
      <c r="A65" s="71"/>
    </row>
    <row r="66" spans="1:25" ht="14.25" hidden="1" customHeight="1">
      <c r="A66" s="47" t="s">
        <v>29</v>
      </c>
      <c r="B66" s="73">
        <v>-1</v>
      </c>
      <c r="C66" s="48" t="s">
        <v>30</v>
      </c>
      <c r="D66" s="47" t="s">
        <v>15</v>
      </c>
      <c r="E66" s="342" t="s">
        <v>28</v>
      </c>
      <c r="F66" s="665">
        <f>'Additional Input'!$O$13</f>
        <v>5250000</v>
      </c>
      <c r="G66" s="344">
        <v>0</v>
      </c>
      <c r="H66" s="47" t="s">
        <v>319</v>
      </c>
      <c r="I66" s="47"/>
      <c r="J66" s="49"/>
      <c r="K66" s="142" t="s">
        <v>179</v>
      </c>
      <c r="L66" s="666">
        <f>MIN(U66,V66)</f>
        <v>1016832</v>
      </c>
      <c r="M66" s="49">
        <v>0</v>
      </c>
      <c r="N66" s="49">
        <v>0</v>
      </c>
      <c r="O66" s="49">
        <v>0</v>
      </c>
      <c r="P66" s="667">
        <f>IF(IF(Calculator!$D$14=TRUE,'Additional Input'!$D$30+'Additional Input'!$D$21-'State Details'!F66,'Additional Input'!$D$30+'Additional Input'!$D$21)&lt;=0,0,IF(Calculator!$D$14=TRUE,'Additional Input'!$D$30+'Additional Input'!$D$21-'State Details'!F66,'Additional Input'!$D$30+'Additional Input'!$D$21))</f>
        <v>9750000</v>
      </c>
      <c r="Q66" s="150">
        <v>0</v>
      </c>
      <c r="R66" s="13" t="s">
        <v>156</v>
      </c>
      <c r="S66" s="13" t="s">
        <v>156</v>
      </c>
      <c r="T66" s="13" t="s">
        <v>156</v>
      </c>
      <c r="U66" s="663">
        <f>IF(Calculator!$D$35&lt;=$F66,0,VLOOKUP(IF(Calculator!$D$10=TRUE,IF(Calculator!$D$14=TRUE,Calculator!$D$35-'State Details'!$F66,Calculator!$D$35),Calculator!$D$35),StateTaxes,2)+((IF(Calculator!$D$10=TRUE,IF(Calculator!$D$14=TRUE,Calculator!$D$35-'State Details'!$F66,Calculator!$D$35),Calculator!$D$35)-VLOOKUP(IF(Calculator!$D$10=TRUE,IF(Calculator!$D$14=TRUE,Calculator!$D$35-'State Details'!$F66,Calculator!$D$35),Calculator!$D$35),StateTaxes,1))*VLOOKUP(IF(Calculator!$D$10=TRUE,IF(Calculator!$D$14=TRUE,Calculator!$D$35-'State Details'!$F66,Calculator!$D$35),Calculator!$D$35),StateTaxes,3)))</f>
        <v>1016832</v>
      </c>
      <c r="V66" s="664">
        <f>IF((IF(Calculator!$D$10=TRUE,IF(Calculator!$D$14=TRUE,Calculator!$D$35-'State Details'!$F66,Calculator!$D$35),Calculator!$D$35)-$F66)*0.45&lt;0,0,(IF(Calculator!$D$10=TRUE,IF(Calculator!$D$14=TRUE,Calculator!$D$35-'State Details'!$F66,Calculator!$D$35),Calculator!$D$35)-$F66)*0.45)</f>
        <v>1987200</v>
      </c>
      <c r="W66" s="16">
        <v>0</v>
      </c>
      <c r="X66" s="139">
        <v>0</v>
      </c>
      <c r="Y66" s="13" t="s">
        <v>159</v>
      </c>
    </row>
    <row r="67" spans="1:25" ht="14.25" hidden="1">
      <c r="A67" s="47" t="s">
        <v>29</v>
      </c>
      <c r="B67" s="75" t="str">
        <f>3&amp;", "&amp;8</f>
        <v>3, 8</v>
      </c>
      <c r="C67" s="48" t="s">
        <v>30</v>
      </c>
      <c r="D67" s="47" t="s">
        <v>15</v>
      </c>
      <c r="E67" s="340" t="s">
        <v>28</v>
      </c>
      <c r="F67" s="86">
        <f>'Additional Input'!$O$13</f>
        <v>5250000</v>
      </c>
      <c r="G67" s="341">
        <f>Calculator!$F$29</f>
        <v>7800000</v>
      </c>
      <c r="H67" s="47" t="s">
        <v>320</v>
      </c>
      <c r="I67" s="47" t="s">
        <v>346</v>
      </c>
      <c r="J67" s="50"/>
      <c r="K67" s="142" t="s">
        <v>180</v>
      </c>
      <c r="L67" s="833">
        <f>IF(P67+Calculator!$J$14-F67&lt;=0,0,VLOOKUP(P67+Calculator!$J$14,DE,3)+(P67+Calculator!$J$14-VLOOKUP(P67+Calculator!$J$14,DE,1))*VLOOKUP(P67+Calculator!$J$14,DE,4))</f>
        <v>335600</v>
      </c>
      <c r="M67" s="833">
        <f ca="1">IF(Q67+Calculator!$J$14-G67&lt;=0,0,VLOOKUP(Q67+Calculator!$J$14,DE,3)+(Q67+Calculator!$J$14-VLOOKUP(Q67+Calculator!$J$14,DE,1))*VLOOKUP(Q67+Calculator!$J$14,DE,4))</f>
        <v>2138569.0013239062</v>
      </c>
      <c r="N67" s="49">
        <v>0</v>
      </c>
      <c r="O67" s="49">
        <v>0</v>
      </c>
      <c r="P67" s="150">
        <f>IF(IF(Calculator!$D$14=TRUE,'Additional Input'!$D$30+'Additional Input'!$D$21-'State Details'!F67,'Additional Input'!$D$30+'Additional Input'!$D$21)&lt;=0,0,IF(Calculator!$D$14=TRUE,'Additional Input'!$D$30+'Additional Input'!$D$21-'State Details'!F67,'Additional Input'!$D$30+'Additional Input'!$D$21))</f>
        <v>9750000</v>
      </c>
      <c r="Q67" s="150">
        <f ca="1">IF(IF(Calculator!$D$14=TRUE,'Additional Input'!$F$31+'Additional Input'!$D$21-'State Details'!G67,'Additional Input'!$F$31+'Additional Input'!$D$21)&lt;=0,0,IF(Calculator!$D$14=TRUE,'Additional Input'!$F$31+'Additional Input'!$D$21-'State Details'!G67,'Additional Input'!$F$31+'Additional Input'!$D$21))</f>
        <v>21948556.258274414</v>
      </c>
    </row>
    <row r="68" spans="1:25" ht="12.75">
      <c r="C68" s="28" t="s">
        <v>157</v>
      </c>
      <c r="F68" s="76" t="s">
        <v>196</v>
      </c>
      <c r="G68" s="76"/>
    </row>
    <row r="69" spans="1:25" ht="22.5">
      <c r="C69" s="99" t="s">
        <v>150</v>
      </c>
      <c r="D69" s="100" t="s">
        <v>151</v>
      </c>
      <c r="E69" s="100" t="s">
        <v>152</v>
      </c>
      <c r="F69" s="101" t="s">
        <v>166</v>
      </c>
      <c r="G69" s="149"/>
    </row>
    <row r="70" spans="1:25">
      <c r="C70" s="22">
        <v>0</v>
      </c>
      <c r="D70" s="23">
        <v>2000000</v>
      </c>
      <c r="E70" s="23">
        <v>0</v>
      </c>
      <c r="F70" s="24">
        <v>0</v>
      </c>
      <c r="G70" s="146"/>
    </row>
    <row r="71" spans="1:25">
      <c r="C71" s="22">
        <v>2000000</v>
      </c>
      <c r="D71" s="23">
        <v>3600000</v>
      </c>
      <c r="E71" s="23">
        <v>0</v>
      </c>
      <c r="F71" s="24">
        <v>7.1999999999999995E-2</v>
      </c>
      <c r="G71" s="146"/>
    </row>
    <row r="72" spans="1:25">
      <c r="C72" s="22">
        <v>3600000</v>
      </c>
      <c r="D72" s="23">
        <v>4100000</v>
      </c>
      <c r="E72" s="23">
        <v>115200</v>
      </c>
      <c r="F72" s="24">
        <v>7.8E-2</v>
      </c>
      <c r="G72" s="146"/>
    </row>
    <row r="73" spans="1:25">
      <c r="C73" s="22">
        <v>4100000</v>
      </c>
      <c r="D73" s="23">
        <v>5100000</v>
      </c>
      <c r="E73" s="23">
        <v>154200</v>
      </c>
      <c r="F73" s="24">
        <v>8.4000000000000005E-2</v>
      </c>
      <c r="G73" s="146"/>
    </row>
    <row r="74" spans="1:25">
      <c r="C74" s="22">
        <v>5100000</v>
      </c>
      <c r="D74" s="23">
        <v>6100000</v>
      </c>
      <c r="E74" s="23">
        <v>238200</v>
      </c>
      <c r="F74" s="24">
        <v>0.09</v>
      </c>
      <c r="G74" s="146"/>
    </row>
    <row r="75" spans="1:25">
      <c r="C75" s="22">
        <v>6100000</v>
      </c>
      <c r="D75" s="23">
        <v>7100000</v>
      </c>
      <c r="E75" s="23">
        <v>328200</v>
      </c>
      <c r="F75" s="24">
        <v>9.6000000000000002E-2</v>
      </c>
      <c r="G75" s="146"/>
    </row>
    <row r="76" spans="1:25">
      <c r="C76" s="22">
        <v>7100000</v>
      </c>
      <c r="D76" s="23">
        <v>8100000</v>
      </c>
      <c r="E76" s="23">
        <v>424200</v>
      </c>
      <c r="F76" s="24">
        <v>0.10199999999999999</v>
      </c>
      <c r="G76" s="146"/>
    </row>
    <row r="77" spans="1:25">
      <c r="C77" s="22">
        <v>8100000</v>
      </c>
      <c r="D77" s="23">
        <v>9100000</v>
      </c>
      <c r="E77" s="23">
        <v>526200</v>
      </c>
      <c r="F77" s="24">
        <v>0.108</v>
      </c>
      <c r="G77" s="146"/>
    </row>
    <row r="78" spans="1:25">
      <c r="C78" s="22">
        <v>9100000</v>
      </c>
      <c r="D78" s="23">
        <v>10100000</v>
      </c>
      <c r="E78" s="23">
        <v>634200</v>
      </c>
      <c r="F78" s="24">
        <v>0.114</v>
      </c>
      <c r="G78" s="146"/>
      <c r="I78" s="77"/>
    </row>
    <row r="79" spans="1:25">
      <c r="C79" s="25">
        <v>10100000</v>
      </c>
      <c r="D79" s="26" t="s">
        <v>135</v>
      </c>
      <c r="E79" s="26">
        <v>748200</v>
      </c>
      <c r="F79" s="27">
        <v>0.12</v>
      </c>
      <c r="G79" s="146"/>
    </row>
    <row r="80" spans="1:25">
      <c r="C80" s="23"/>
      <c r="D80" s="23"/>
      <c r="E80" s="23"/>
      <c r="F80" s="146"/>
      <c r="G80" s="146"/>
    </row>
    <row r="81" spans="3:17">
      <c r="C81" s="23"/>
      <c r="D81" s="23"/>
      <c r="E81" s="23"/>
      <c r="F81" s="146"/>
      <c r="G81" s="146"/>
    </row>
    <row r="82" spans="3:17" ht="12.75">
      <c r="C82" s="28" t="s">
        <v>494</v>
      </c>
      <c r="G82" s="146"/>
    </row>
    <row r="83" spans="3:17" ht="22.5">
      <c r="C83" s="99" t="s">
        <v>150</v>
      </c>
      <c r="D83" s="100" t="s">
        <v>151</v>
      </c>
      <c r="E83" s="100" t="s">
        <v>152</v>
      </c>
      <c r="F83" s="101" t="s">
        <v>166</v>
      </c>
      <c r="G83" s="146"/>
    </row>
    <row r="84" spans="3:17">
      <c r="C84" s="22">
        <v>0</v>
      </c>
      <c r="D84" s="23">
        <v>1000000</v>
      </c>
      <c r="E84" s="23">
        <v>0</v>
      </c>
      <c r="F84" s="44">
        <v>0.1</v>
      </c>
      <c r="G84" s="146"/>
    </row>
    <row r="85" spans="3:17">
      <c r="C85" s="22">
        <v>1000000</v>
      </c>
      <c r="D85" s="23">
        <v>2000000</v>
      </c>
      <c r="E85" s="23">
        <v>100000</v>
      </c>
      <c r="F85" s="44">
        <v>0.11</v>
      </c>
      <c r="G85" s="146"/>
    </row>
    <row r="86" spans="3:17">
      <c r="C86" s="22">
        <v>2000000</v>
      </c>
      <c r="D86" s="23">
        <v>3000000</v>
      </c>
      <c r="E86" s="23">
        <v>210000</v>
      </c>
      <c r="F86" s="44">
        <v>0.12</v>
      </c>
      <c r="G86" s="146"/>
    </row>
    <row r="87" spans="3:17">
      <c r="C87" s="22">
        <v>3000000</v>
      </c>
      <c r="D87" s="23">
        <v>4000000</v>
      </c>
      <c r="E87" s="23">
        <v>330000</v>
      </c>
      <c r="F87" s="44">
        <v>0.13</v>
      </c>
      <c r="G87" s="146"/>
    </row>
    <row r="88" spans="3:17">
      <c r="C88" s="22">
        <v>4000000</v>
      </c>
      <c r="D88" s="23">
        <v>5000000</v>
      </c>
      <c r="E88" s="23">
        <v>460000</v>
      </c>
      <c r="F88" s="44">
        <v>0.14000000000000001</v>
      </c>
      <c r="G88" s="146"/>
    </row>
    <row r="89" spans="3:17">
      <c r="C89" s="25">
        <v>5000000</v>
      </c>
      <c r="D89" s="26" t="s">
        <v>135</v>
      </c>
      <c r="E89" s="26">
        <v>600000</v>
      </c>
      <c r="F89" s="46">
        <v>0.15</v>
      </c>
      <c r="G89" s="146"/>
    </row>
    <row r="91" spans="3:17">
      <c r="F91" s="444" t="s">
        <v>370</v>
      </c>
      <c r="G91" s="835">
        <v>1</v>
      </c>
    </row>
    <row r="92" spans="3:17" ht="12.75">
      <c r="C92" s="28" t="s">
        <v>144</v>
      </c>
      <c r="F92" s="445">
        <f>$J$19</f>
        <v>250000</v>
      </c>
      <c r="G92" s="834" t="s">
        <v>497</v>
      </c>
      <c r="H92" s="29">
        <v>500</v>
      </c>
      <c r="I92" s="20"/>
      <c r="J92" s="37">
        <v>100</v>
      </c>
      <c r="K92" s="1122" t="s">
        <v>369</v>
      </c>
      <c r="L92" s="1123"/>
      <c r="O92" s="13"/>
      <c r="P92" s="13"/>
      <c r="Q92" s="13"/>
    </row>
    <row r="93" spans="3:17" ht="45">
      <c r="C93" s="102" t="s">
        <v>124</v>
      </c>
      <c r="D93" s="103"/>
      <c r="E93" s="337" t="s">
        <v>169</v>
      </c>
      <c r="F93" s="337" t="s">
        <v>170</v>
      </c>
      <c r="G93" s="337" t="s">
        <v>171</v>
      </c>
      <c r="H93" s="337" t="s">
        <v>172</v>
      </c>
      <c r="I93" s="104" t="s">
        <v>173</v>
      </c>
      <c r="J93" s="105" t="s">
        <v>185</v>
      </c>
      <c r="K93" s="15">
        <v>250000</v>
      </c>
      <c r="L93" s="15">
        <v>500</v>
      </c>
      <c r="M93" s="15">
        <v>100</v>
      </c>
      <c r="O93" s="13"/>
      <c r="P93" s="13"/>
      <c r="Q93" s="13"/>
    </row>
    <row r="94" spans="3:17">
      <c r="C94" s="30">
        <v>0</v>
      </c>
      <c r="D94" s="23">
        <v>25000</v>
      </c>
      <c r="E94" s="23">
        <v>0</v>
      </c>
      <c r="F94" s="31">
        <v>0.01</v>
      </c>
      <c r="G94" s="23">
        <v>0</v>
      </c>
      <c r="H94" s="31">
        <v>7.0000000000000007E-2</v>
      </c>
      <c r="I94" s="23">
        <v>0</v>
      </c>
      <c r="J94" s="63">
        <v>0.1</v>
      </c>
      <c r="K94" s="438">
        <v>2012</v>
      </c>
      <c r="L94" s="439">
        <v>1</v>
      </c>
      <c r="O94" s="13"/>
      <c r="P94" s="13"/>
      <c r="Q94" s="13"/>
    </row>
    <row r="95" spans="3:17">
      <c r="C95" s="30">
        <v>25000</v>
      </c>
      <c r="D95" s="23">
        <v>50000</v>
      </c>
      <c r="E95" s="23">
        <v>250</v>
      </c>
      <c r="F95" s="31">
        <v>0.02</v>
      </c>
      <c r="G95" s="23">
        <v>1750</v>
      </c>
      <c r="H95" s="31">
        <v>7.0000000000000007E-2</v>
      </c>
      <c r="I95" s="23">
        <v>2500</v>
      </c>
      <c r="J95" s="63">
        <v>0.1</v>
      </c>
      <c r="K95" s="440">
        <f>K94+1</f>
        <v>2013</v>
      </c>
      <c r="L95" s="441">
        <v>0.9</v>
      </c>
      <c r="O95" s="13"/>
      <c r="P95" s="13"/>
      <c r="Q95" s="13"/>
    </row>
    <row r="96" spans="3:17">
      <c r="C96" s="30">
        <v>50000</v>
      </c>
      <c r="D96" s="23">
        <v>100000</v>
      </c>
      <c r="E96" s="23">
        <v>750</v>
      </c>
      <c r="F96" s="31">
        <v>0.03</v>
      </c>
      <c r="G96" s="23">
        <v>3500</v>
      </c>
      <c r="H96" s="31">
        <v>7.0000000000000007E-2</v>
      </c>
      <c r="I96" s="23">
        <v>5000</v>
      </c>
      <c r="J96" s="63">
        <v>0.1</v>
      </c>
      <c r="K96" s="440">
        <f t="shared" ref="K96:K104" si="2">K95+1</f>
        <v>2014</v>
      </c>
      <c r="L96" s="441">
        <f>L95-0.1</f>
        <v>0.8</v>
      </c>
      <c r="O96" s="13"/>
      <c r="P96" s="13"/>
      <c r="Q96" s="13"/>
    </row>
    <row r="97" spans="3:17">
      <c r="C97" s="30">
        <v>100000</v>
      </c>
      <c r="D97" s="23">
        <v>200000</v>
      </c>
      <c r="E97" s="23">
        <v>2250</v>
      </c>
      <c r="F97" s="31">
        <v>0.03</v>
      </c>
      <c r="G97" s="23">
        <v>7000</v>
      </c>
      <c r="H97" s="31">
        <v>0.1</v>
      </c>
      <c r="I97" s="23">
        <v>10000</v>
      </c>
      <c r="J97" s="63">
        <v>0.15</v>
      </c>
      <c r="K97" s="440">
        <f t="shared" si="2"/>
        <v>2015</v>
      </c>
      <c r="L97" s="441">
        <f t="shared" ref="L97:L104" si="3">L96-0.1</f>
        <v>0.70000000000000007</v>
      </c>
      <c r="O97" s="13"/>
      <c r="P97" s="13"/>
      <c r="Q97" s="13"/>
    </row>
    <row r="98" spans="3:17">
      <c r="C98" s="30">
        <v>200000</v>
      </c>
      <c r="D98" s="23">
        <v>300000</v>
      </c>
      <c r="E98" s="23">
        <v>5250</v>
      </c>
      <c r="F98" s="31">
        <v>0.04</v>
      </c>
      <c r="G98" s="23">
        <v>17000</v>
      </c>
      <c r="H98" s="31">
        <v>0.1</v>
      </c>
      <c r="I98" s="23">
        <v>25000</v>
      </c>
      <c r="J98" s="63">
        <v>0.15</v>
      </c>
      <c r="K98" s="440">
        <f t="shared" si="2"/>
        <v>2016</v>
      </c>
      <c r="L98" s="441">
        <f t="shared" si="3"/>
        <v>0.60000000000000009</v>
      </c>
      <c r="O98" s="13"/>
      <c r="P98" s="13"/>
      <c r="Q98" s="13"/>
    </row>
    <row r="99" spans="3:17">
      <c r="C99" s="30">
        <v>300000</v>
      </c>
      <c r="D99" s="23">
        <v>500000</v>
      </c>
      <c r="E99" s="23">
        <v>9250</v>
      </c>
      <c r="F99" s="31">
        <v>0.05</v>
      </c>
      <c r="G99" s="23">
        <v>27000</v>
      </c>
      <c r="H99" s="31">
        <v>0.1</v>
      </c>
      <c r="I99" s="23">
        <v>40000</v>
      </c>
      <c r="J99" s="63">
        <v>0.15</v>
      </c>
      <c r="K99" s="440">
        <f t="shared" si="2"/>
        <v>2017</v>
      </c>
      <c r="L99" s="441">
        <f t="shared" si="3"/>
        <v>0.50000000000000011</v>
      </c>
      <c r="O99" s="13"/>
      <c r="P99" s="13"/>
      <c r="Q99" s="13"/>
    </row>
    <row r="100" spans="3:17">
      <c r="C100" s="30">
        <v>500000</v>
      </c>
      <c r="D100" s="23">
        <v>700000</v>
      </c>
      <c r="E100" s="23">
        <v>19250</v>
      </c>
      <c r="F100" s="31">
        <v>0.06</v>
      </c>
      <c r="G100" s="23">
        <v>47000</v>
      </c>
      <c r="H100" s="31">
        <v>0.12</v>
      </c>
      <c r="I100" s="23">
        <v>70000</v>
      </c>
      <c r="J100" s="63">
        <v>0.15</v>
      </c>
      <c r="K100" s="440">
        <f t="shared" si="2"/>
        <v>2018</v>
      </c>
      <c r="L100" s="441">
        <f t="shared" si="3"/>
        <v>0.40000000000000013</v>
      </c>
      <c r="O100" s="13"/>
      <c r="P100" s="13"/>
      <c r="Q100" s="13"/>
    </row>
    <row r="101" spans="3:17">
      <c r="C101" s="30">
        <v>700000</v>
      </c>
      <c r="D101" s="23">
        <v>1000000</v>
      </c>
      <c r="E101" s="23">
        <v>31250</v>
      </c>
      <c r="F101" s="31">
        <v>7.0000000000000007E-2</v>
      </c>
      <c r="G101" s="23">
        <v>71000</v>
      </c>
      <c r="H101" s="31">
        <v>0.12</v>
      </c>
      <c r="I101" s="23">
        <v>100000</v>
      </c>
      <c r="J101" s="63">
        <v>0.15</v>
      </c>
      <c r="K101" s="440">
        <f t="shared" si="2"/>
        <v>2019</v>
      </c>
      <c r="L101" s="441">
        <f t="shared" si="3"/>
        <v>0.30000000000000016</v>
      </c>
      <c r="O101" s="13"/>
      <c r="P101" s="13"/>
      <c r="Q101" s="13"/>
    </row>
    <row r="102" spans="3:17">
      <c r="C102" s="30">
        <v>1000000</v>
      </c>
      <c r="D102" s="23">
        <v>1500000</v>
      </c>
      <c r="E102" s="23">
        <v>52250</v>
      </c>
      <c r="F102" s="31">
        <v>0.08</v>
      </c>
      <c r="G102" s="23">
        <v>107000</v>
      </c>
      <c r="H102" s="31">
        <v>0.15</v>
      </c>
      <c r="I102" s="23">
        <v>145000</v>
      </c>
      <c r="J102" s="63">
        <v>0.2</v>
      </c>
      <c r="K102" s="440">
        <f t="shared" si="2"/>
        <v>2020</v>
      </c>
      <c r="L102" s="441">
        <f t="shared" si="3"/>
        <v>0.20000000000000015</v>
      </c>
      <c r="O102" s="13"/>
      <c r="P102" s="13"/>
      <c r="Q102" s="13"/>
    </row>
    <row r="103" spans="3:17">
      <c r="C103" s="32">
        <v>1500000</v>
      </c>
      <c r="D103" s="33" t="s">
        <v>135</v>
      </c>
      <c r="E103" s="33">
        <v>92250</v>
      </c>
      <c r="F103" s="34">
        <v>0.1</v>
      </c>
      <c r="G103" s="33">
        <v>182000</v>
      </c>
      <c r="H103" s="34">
        <v>0.15</v>
      </c>
      <c r="I103" s="33">
        <v>245000</v>
      </c>
      <c r="J103" s="64">
        <v>0.2</v>
      </c>
      <c r="K103" s="440">
        <f t="shared" si="2"/>
        <v>2021</v>
      </c>
      <c r="L103" s="441">
        <f t="shared" si="3"/>
        <v>0.10000000000000014</v>
      </c>
      <c r="O103" s="13"/>
      <c r="P103" s="13"/>
      <c r="Q103" s="13"/>
    </row>
    <row r="104" spans="3:17">
      <c r="H104" s="19"/>
      <c r="I104" s="20"/>
      <c r="J104" s="18"/>
      <c r="K104" s="442">
        <f t="shared" si="2"/>
        <v>2022</v>
      </c>
      <c r="L104" s="443">
        <f t="shared" si="3"/>
        <v>1.3877787807814457E-16</v>
      </c>
      <c r="O104" s="13"/>
      <c r="P104" s="13"/>
      <c r="Q104" s="13"/>
    </row>
    <row r="105" spans="3:17" ht="12.75">
      <c r="C105" s="28" t="s">
        <v>148</v>
      </c>
      <c r="E105" s="35">
        <v>0</v>
      </c>
      <c r="F105" s="35"/>
      <c r="G105" s="35">
        <v>0</v>
      </c>
      <c r="H105" s="36"/>
      <c r="I105" s="37">
        <v>0</v>
      </c>
      <c r="J105" s="18"/>
      <c r="K105" s="15"/>
      <c r="O105" s="13"/>
      <c r="P105" s="13"/>
      <c r="Q105" s="13"/>
    </row>
    <row r="106" spans="3:17" ht="33.75">
      <c r="C106" s="1116" t="s">
        <v>124</v>
      </c>
      <c r="D106" s="1117"/>
      <c r="E106" s="337" t="s">
        <v>136</v>
      </c>
      <c r="F106" s="337" t="s">
        <v>137</v>
      </c>
      <c r="G106" s="337" t="s">
        <v>131</v>
      </c>
      <c r="H106" s="337" t="s">
        <v>132</v>
      </c>
      <c r="I106" s="104" t="s">
        <v>133</v>
      </c>
      <c r="J106" s="105" t="s">
        <v>134</v>
      </c>
      <c r="K106" s="15"/>
      <c r="O106" s="13"/>
      <c r="P106" s="13"/>
      <c r="Q106" s="13"/>
    </row>
    <row r="107" spans="3:17">
      <c r="C107" s="30">
        <v>0</v>
      </c>
      <c r="D107" s="23">
        <v>5000</v>
      </c>
      <c r="E107" s="23">
        <v>0</v>
      </c>
      <c r="F107" s="31">
        <v>0</v>
      </c>
      <c r="G107" s="23">
        <v>0</v>
      </c>
      <c r="H107" s="31">
        <v>0.05</v>
      </c>
      <c r="I107" s="23">
        <v>0</v>
      </c>
      <c r="J107" s="63">
        <v>0.1</v>
      </c>
      <c r="K107" s="15"/>
      <c r="O107" s="13"/>
      <c r="P107" s="13"/>
      <c r="Q107" s="13"/>
    </row>
    <row r="108" spans="3:17">
      <c r="C108" s="30">
        <v>5000</v>
      </c>
      <c r="D108" s="23">
        <v>12500</v>
      </c>
      <c r="E108" s="23">
        <v>0</v>
      </c>
      <c r="F108" s="31">
        <v>0</v>
      </c>
      <c r="G108" s="23">
        <v>250</v>
      </c>
      <c r="H108" s="31">
        <v>0.05</v>
      </c>
      <c r="I108" s="23">
        <v>500</v>
      </c>
      <c r="J108" s="63">
        <v>0.1</v>
      </c>
      <c r="K108" s="15"/>
      <c r="O108" s="13"/>
      <c r="P108" s="13"/>
      <c r="Q108" s="13"/>
    </row>
    <row r="109" spans="3:17">
      <c r="C109" s="30">
        <v>12500</v>
      </c>
      <c r="D109" s="23">
        <v>25000</v>
      </c>
      <c r="E109" s="23">
        <v>0</v>
      </c>
      <c r="F109" s="31">
        <v>0</v>
      </c>
      <c r="G109" s="23">
        <v>625</v>
      </c>
      <c r="H109" s="31">
        <v>0.06</v>
      </c>
      <c r="I109" s="23">
        <v>1250</v>
      </c>
      <c r="J109" s="63">
        <v>0.1</v>
      </c>
      <c r="K109" s="15"/>
      <c r="O109" s="13"/>
      <c r="P109" s="13"/>
      <c r="Q109" s="13"/>
    </row>
    <row r="110" spans="3:17">
      <c r="C110" s="30">
        <v>25000</v>
      </c>
      <c r="D110" s="23">
        <v>50000</v>
      </c>
      <c r="E110" s="23">
        <v>0</v>
      </c>
      <c r="F110" s="31">
        <v>0</v>
      </c>
      <c r="G110" s="23">
        <v>1375</v>
      </c>
      <c r="H110" s="31">
        <v>7.0000000000000007E-2</v>
      </c>
      <c r="I110" s="23">
        <v>2500</v>
      </c>
      <c r="J110" s="63">
        <v>0.1</v>
      </c>
      <c r="K110" s="15"/>
      <c r="O110" s="13"/>
      <c r="P110" s="13"/>
      <c r="Q110" s="13"/>
    </row>
    <row r="111" spans="3:17">
      <c r="C111" s="30">
        <v>50000</v>
      </c>
      <c r="D111" s="23">
        <v>75000</v>
      </c>
      <c r="E111" s="23">
        <v>0</v>
      </c>
      <c r="F111" s="31">
        <v>0</v>
      </c>
      <c r="G111" s="23">
        <v>3125</v>
      </c>
      <c r="H111" s="31">
        <v>7.0000000000000007E-2</v>
      </c>
      <c r="I111" s="23">
        <v>5000</v>
      </c>
      <c r="J111" s="63">
        <v>0.12</v>
      </c>
      <c r="K111" s="15"/>
      <c r="O111" s="13"/>
      <c r="P111" s="13"/>
      <c r="Q111" s="13"/>
    </row>
    <row r="112" spans="3:17">
      <c r="C112" s="30">
        <v>75000</v>
      </c>
      <c r="D112" s="23">
        <v>100000</v>
      </c>
      <c r="E112" s="23">
        <v>0</v>
      </c>
      <c r="F112" s="31">
        <v>0</v>
      </c>
      <c r="G112" s="23">
        <v>4875</v>
      </c>
      <c r="H112" s="31">
        <v>0.08</v>
      </c>
      <c r="I112" s="23">
        <v>8000</v>
      </c>
      <c r="J112" s="63">
        <v>0.12</v>
      </c>
      <c r="K112" s="15"/>
      <c r="O112" s="13"/>
      <c r="P112" s="13"/>
      <c r="Q112" s="13"/>
    </row>
    <row r="113" spans="3:17">
      <c r="C113" s="30">
        <v>100000</v>
      </c>
      <c r="D113" s="23">
        <v>150000</v>
      </c>
      <c r="E113" s="23">
        <v>0</v>
      </c>
      <c r="F113" s="31">
        <v>0</v>
      </c>
      <c r="G113" s="23">
        <v>6875</v>
      </c>
      <c r="H113" s="31">
        <v>0.09</v>
      </c>
      <c r="I113" s="23">
        <v>11000</v>
      </c>
      <c r="J113" s="63">
        <v>0.15</v>
      </c>
      <c r="K113" s="15"/>
      <c r="O113" s="13"/>
      <c r="P113" s="13"/>
      <c r="Q113" s="13"/>
    </row>
    <row r="114" spans="3:17">
      <c r="C114" s="32">
        <v>150000</v>
      </c>
      <c r="D114" s="33" t="s">
        <v>135</v>
      </c>
      <c r="E114" s="33">
        <v>0</v>
      </c>
      <c r="F114" s="34">
        <v>0</v>
      </c>
      <c r="G114" s="33">
        <v>11375</v>
      </c>
      <c r="H114" s="34">
        <v>0.1</v>
      </c>
      <c r="I114" s="33">
        <v>18500</v>
      </c>
      <c r="J114" s="64">
        <v>0.15</v>
      </c>
      <c r="K114" s="15"/>
      <c r="O114" s="13"/>
      <c r="P114" s="13"/>
      <c r="Q114" s="13"/>
    </row>
    <row r="115" spans="3:17">
      <c r="E115" s="38"/>
      <c r="F115" s="39"/>
      <c r="H115" s="19"/>
      <c r="I115" s="20"/>
      <c r="J115" s="18"/>
      <c r="K115" s="15"/>
      <c r="O115" s="13"/>
      <c r="P115" s="13"/>
      <c r="Q115" s="13"/>
    </row>
    <row r="116" spans="3:17">
      <c r="H116" s="19"/>
      <c r="I116" s="20"/>
      <c r="J116" s="18"/>
      <c r="K116" s="15"/>
      <c r="O116" s="13"/>
      <c r="P116" s="13"/>
      <c r="Q116" s="13"/>
    </row>
    <row r="117" spans="3:17" ht="12.75">
      <c r="C117" s="28" t="s">
        <v>143</v>
      </c>
      <c r="G117" s="35">
        <v>1000</v>
      </c>
      <c r="H117" s="40" t="s">
        <v>139</v>
      </c>
      <c r="I117" s="37">
        <v>500</v>
      </c>
      <c r="J117" s="20" t="s">
        <v>139</v>
      </c>
      <c r="K117" s="15"/>
      <c r="O117" s="13"/>
      <c r="P117" s="13"/>
      <c r="Q117" s="13"/>
    </row>
    <row r="118" spans="3:17" ht="33.75">
      <c r="C118" s="1116" t="s">
        <v>124</v>
      </c>
      <c r="D118" s="1117"/>
      <c r="E118" s="337" t="s">
        <v>125</v>
      </c>
      <c r="F118" s="337" t="s">
        <v>126</v>
      </c>
      <c r="G118" s="337" t="s">
        <v>127</v>
      </c>
      <c r="H118" s="337" t="s">
        <v>128</v>
      </c>
      <c r="I118" s="104" t="s">
        <v>129</v>
      </c>
      <c r="J118" s="105" t="s">
        <v>130</v>
      </c>
      <c r="K118" s="15"/>
      <c r="O118" s="13"/>
      <c r="P118" s="13"/>
      <c r="Q118" s="13"/>
    </row>
    <row r="119" spans="3:17">
      <c r="C119" s="30">
        <v>0</v>
      </c>
      <c r="D119" s="23">
        <v>500</v>
      </c>
      <c r="E119" s="23">
        <v>0</v>
      </c>
      <c r="F119" s="31">
        <v>0</v>
      </c>
      <c r="G119" s="23">
        <v>0</v>
      </c>
      <c r="H119" s="31">
        <v>0.04</v>
      </c>
      <c r="I119" s="23">
        <v>0</v>
      </c>
      <c r="J119" s="63">
        <v>0.06</v>
      </c>
      <c r="K119" s="15"/>
      <c r="O119" s="13"/>
      <c r="P119" s="13"/>
      <c r="Q119" s="13"/>
    </row>
    <row r="120" spans="3:17">
      <c r="C120" s="30">
        <v>500</v>
      </c>
      <c r="D120" s="23">
        <v>1000</v>
      </c>
      <c r="E120" s="23">
        <v>0</v>
      </c>
      <c r="F120" s="31">
        <v>0</v>
      </c>
      <c r="G120" s="23">
        <v>0</v>
      </c>
      <c r="H120" s="31">
        <v>0.04</v>
      </c>
      <c r="I120" s="23">
        <v>0</v>
      </c>
      <c r="J120" s="63">
        <v>0.06</v>
      </c>
      <c r="K120" s="15"/>
      <c r="O120" s="13"/>
      <c r="P120" s="13"/>
      <c r="Q120" s="13"/>
    </row>
    <row r="121" spans="3:17">
      <c r="C121" s="30">
        <v>1000</v>
      </c>
      <c r="D121" s="23">
        <v>5000</v>
      </c>
      <c r="E121" s="23">
        <v>0</v>
      </c>
      <c r="F121" s="31">
        <v>0</v>
      </c>
      <c r="G121" s="23">
        <v>0</v>
      </c>
      <c r="H121" s="31">
        <v>0.04</v>
      </c>
      <c r="I121" s="23">
        <v>30</v>
      </c>
      <c r="J121" s="63">
        <v>0.06</v>
      </c>
      <c r="K121" s="15"/>
      <c r="O121" s="13"/>
      <c r="P121" s="13"/>
      <c r="Q121" s="13"/>
    </row>
    <row r="122" spans="3:17">
      <c r="C122" s="30">
        <v>5000</v>
      </c>
      <c r="D122" s="23">
        <v>10000</v>
      </c>
      <c r="E122" s="23">
        <v>0</v>
      </c>
      <c r="F122" s="31">
        <v>0</v>
      </c>
      <c r="G122" s="23">
        <v>160</v>
      </c>
      <c r="H122" s="31">
        <v>0.04</v>
      </c>
      <c r="I122" s="23">
        <v>270</v>
      </c>
      <c r="J122" s="63">
        <v>0.06</v>
      </c>
      <c r="K122" s="15"/>
      <c r="O122" s="13"/>
      <c r="P122" s="13"/>
      <c r="Q122" s="13"/>
    </row>
    <row r="123" spans="3:17">
      <c r="C123" s="30">
        <v>10000</v>
      </c>
      <c r="D123" s="23">
        <v>20000</v>
      </c>
      <c r="E123" s="23">
        <v>0</v>
      </c>
      <c r="F123" s="31">
        <v>0</v>
      </c>
      <c r="G123" s="23">
        <v>360</v>
      </c>
      <c r="H123" s="31">
        <v>0.05</v>
      </c>
      <c r="I123" s="23">
        <v>570</v>
      </c>
      <c r="J123" s="63">
        <v>0.08</v>
      </c>
      <c r="K123" s="15"/>
      <c r="O123" s="13"/>
      <c r="P123" s="13"/>
      <c r="Q123" s="13"/>
    </row>
    <row r="124" spans="3:17">
      <c r="C124" s="30">
        <v>20000</v>
      </c>
      <c r="D124" s="23">
        <v>30000</v>
      </c>
      <c r="E124" s="23">
        <v>0</v>
      </c>
      <c r="F124" s="31">
        <v>0</v>
      </c>
      <c r="G124" s="23">
        <v>860</v>
      </c>
      <c r="H124" s="31">
        <v>0.06</v>
      </c>
      <c r="I124" s="23">
        <v>1370</v>
      </c>
      <c r="J124" s="63">
        <v>0.1</v>
      </c>
      <c r="K124" s="15"/>
      <c r="O124" s="13"/>
      <c r="P124" s="13"/>
      <c r="Q124" s="13"/>
    </row>
    <row r="125" spans="3:17">
      <c r="C125" s="30">
        <v>30000</v>
      </c>
      <c r="D125" s="23">
        <v>40000</v>
      </c>
      <c r="E125" s="23">
        <v>0</v>
      </c>
      <c r="F125" s="31">
        <v>0</v>
      </c>
      <c r="G125" s="23">
        <v>1460</v>
      </c>
      <c r="H125" s="31">
        <v>0.08</v>
      </c>
      <c r="I125" s="23">
        <v>2370</v>
      </c>
      <c r="J125" s="63">
        <v>0.12</v>
      </c>
      <c r="K125" s="15"/>
      <c r="O125" s="13"/>
      <c r="P125" s="13"/>
      <c r="Q125" s="13"/>
    </row>
    <row r="126" spans="3:17">
      <c r="C126" s="30">
        <v>40000</v>
      </c>
      <c r="D126" s="23">
        <v>50000</v>
      </c>
      <c r="E126" s="23">
        <v>0</v>
      </c>
      <c r="F126" s="31">
        <v>0</v>
      </c>
      <c r="G126" s="23">
        <v>2660</v>
      </c>
      <c r="H126" s="31">
        <v>0.1</v>
      </c>
      <c r="I126" s="23">
        <v>4170</v>
      </c>
      <c r="J126" s="63">
        <v>0.14000000000000001</v>
      </c>
      <c r="K126" s="15"/>
      <c r="O126" s="13"/>
      <c r="P126" s="13"/>
      <c r="Q126" s="13"/>
    </row>
    <row r="127" spans="3:17">
      <c r="C127" s="30">
        <v>50000</v>
      </c>
      <c r="D127" s="23">
        <v>60000</v>
      </c>
      <c r="E127" s="23">
        <v>0</v>
      </c>
      <c r="F127" s="31">
        <v>0</v>
      </c>
      <c r="G127" s="23">
        <v>3160</v>
      </c>
      <c r="H127" s="31">
        <v>0.1</v>
      </c>
      <c r="I127" s="23">
        <v>4870</v>
      </c>
      <c r="J127" s="63">
        <v>0.14000000000000001</v>
      </c>
      <c r="K127" s="15"/>
      <c r="O127" s="13"/>
      <c r="P127" s="13"/>
      <c r="Q127" s="13"/>
    </row>
    <row r="128" spans="3:17">
      <c r="C128" s="30">
        <v>60000</v>
      </c>
      <c r="D128" s="23">
        <v>100000</v>
      </c>
      <c r="E128" s="23">
        <v>0</v>
      </c>
      <c r="F128" s="31">
        <v>0</v>
      </c>
      <c r="G128" s="23">
        <v>4160</v>
      </c>
      <c r="H128" s="31">
        <v>0.12</v>
      </c>
      <c r="I128" s="23">
        <v>6270</v>
      </c>
      <c r="J128" s="63">
        <v>0.16</v>
      </c>
      <c r="K128" s="15"/>
      <c r="O128" s="13"/>
      <c r="P128" s="13"/>
      <c r="Q128" s="13"/>
    </row>
    <row r="129" spans="3:17">
      <c r="C129" s="30">
        <v>100000</v>
      </c>
      <c r="D129" s="23">
        <v>200000</v>
      </c>
      <c r="E129" s="23">
        <v>0</v>
      </c>
      <c r="F129" s="31">
        <v>0</v>
      </c>
      <c r="G129" s="23">
        <v>8960</v>
      </c>
      <c r="H129" s="31">
        <v>0.14000000000000001</v>
      </c>
      <c r="I129" s="23">
        <v>12670</v>
      </c>
      <c r="J129" s="63">
        <v>0.16</v>
      </c>
      <c r="K129" s="15"/>
      <c r="O129" s="13"/>
      <c r="P129" s="13"/>
      <c r="Q129" s="13"/>
    </row>
    <row r="130" spans="3:17">
      <c r="C130" s="30">
        <v>200000</v>
      </c>
      <c r="D130" s="23">
        <v>500000</v>
      </c>
      <c r="E130" s="23">
        <v>0</v>
      </c>
      <c r="F130" s="31">
        <v>0</v>
      </c>
      <c r="G130" s="23">
        <v>22960</v>
      </c>
      <c r="H130" s="31">
        <v>0.16</v>
      </c>
      <c r="I130" s="23">
        <v>28670</v>
      </c>
      <c r="J130" s="63">
        <v>0.16</v>
      </c>
      <c r="K130" s="15"/>
      <c r="O130" s="13"/>
      <c r="P130" s="13"/>
      <c r="Q130" s="13"/>
    </row>
    <row r="131" spans="3:17">
      <c r="C131" s="32">
        <v>500000</v>
      </c>
      <c r="D131" s="33" t="s">
        <v>135</v>
      </c>
      <c r="E131" s="33">
        <v>0</v>
      </c>
      <c r="F131" s="34">
        <v>0</v>
      </c>
      <c r="G131" s="33">
        <v>70960</v>
      </c>
      <c r="H131" s="34">
        <v>0.16</v>
      </c>
      <c r="I131" s="33">
        <v>76670</v>
      </c>
      <c r="J131" s="64">
        <v>0.16</v>
      </c>
      <c r="K131" s="15"/>
      <c r="O131" s="13"/>
      <c r="P131" s="13"/>
      <c r="Q131" s="13"/>
    </row>
    <row r="132" spans="3:17">
      <c r="H132" s="19"/>
      <c r="I132" s="20"/>
      <c r="J132" s="18"/>
      <c r="K132" s="15"/>
      <c r="O132" s="13"/>
      <c r="P132" s="13"/>
      <c r="Q132" s="13"/>
    </row>
    <row r="133" spans="3:17">
      <c r="H133" s="19"/>
      <c r="I133" s="20"/>
      <c r="J133" s="18"/>
      <c r="K133" s="15"/>
      <c r="O133" s="13"/>
      <c r="P133" s="13"/>
      <c r="Q133" s="13"/>
    </row>
    <row r="134" spans="3:17" ht="12.75">
      <c r="C134" s="28" t="s">
        <v>345</v>
      </c>
      <c r="H134" s="19"/>
      <c r="I134" s="20"/>
      <c r="J134" s="18"/>
      <c r="K134" s="15"/>
      <c r="O134" s="13"/>
      <c r="P134" s="13"/>
      <c r="Q134" s="13"/>
    </row>
    <row r="135" spans="3:17" ht="22.5">
      <c r="C135" s="99" t="s">
        <v>150</v>
      </c>
      <c r="D135" s="100" t="s">
        <v>151</v>
      </c>
      <c r="E135" s="100" t="s">
        <v>152</v>
      </c>
      <c r="F135" s="101" t="s">
        <v>166</v>
      </c>
      <c r="H135" s="19"/>
      <c r="I135" s="20"/>
      <c r="J135" s="18"/>
      <c r="K135" s="15"/>
      <c r="O135" s="13"/>
      <c r="P135" s="13"/>
      <c r="Q135" s="13"/>
    </row>
    <row r="136" spans="3:17">
      <c r="C136" s="22">
        <v>0</v>
      </c>
      <c r="D136" s="23">
        <v>2000000</v>
      </c>
      <c r="E136" s="23">
        <v>0</v>
      </c>
      <c r="F136" s="44">
        <v>0.08</v>
      </c>
      <c r="H136" s="19"/>
      <c r="I136" s="20"/>
      <c r="J136" s="18"/>
      <c r="K136" s="15"/>
      <c r="O136" s="13"/>
      <c r="P136" s="13"/>
      <c r="Q136" s="13"/>
    </row>
    <row r="137" spans="3:17">
      <c r="C137" s="22">
        <v>2000000</v>
      </c>
      <c r="D137" s="23">
        <v>5000000</v>
      </c>
      <c r="E137" s="23">
        <v>0</v>
      </c>
      <c r="F137" s="44">
        <v>0.08</v>
      </c>
      <c r="H137" s="19"/>
      <c r="I137" s="20"/>
      <c r="J137" s="18"/>
      <c r="K137" s="15"/>
      <c r="O137" s="13"/>
      <c r="P137" s="13"/>
      <c r="Q137" s="13"/>
    </row>
    <row r="138" spans="3:17">
      <c r="C138" s="22">
        <v>5000000</v>
      </c>
      <c r="D138" s="23">
        <v>8000000</v>
      </c>
      <c r="E138" s="23">
        <v>240000</v>
      </c>
      <c r="F138" s="44">
        <v>0.1</v>
      </c>
      <c r="H138" s="19"/>
      <c r="I138" s="20"/>
      <c r="J138" s="18"/>
      <c r="K138" s="15"/>
      <c r="O138" s="13"/>
      <c r="P138" s="13"/>
      <c r="Q138" s="13"/>
    </row>
    <row r="139" spans="3:17">
      <c r="C139" s="25">
        <v>8000000</v>
      </c>
      <c r="D139" s="26" t="s">
        <v>135</v>
      </c>
      <c r="E139" s="26">
        <v>540000</v>
      </c>
      <c r="F139" s="46">
        <v>0.12</v>
      </c>
      <c r="H139" s="19"/>
      <c r="I139" s="20"/>
      <c r="J139" s="18"/>
      <c r="K139" s="15"/>
      <c r="O139" s="13"/>
      <c r="P139" s="13"/>
      <c r="Q139" s="13"/>
    </row>
    <row r="140" spans="3:17">
      <c r="H140" s="19"/>
      <c r="I140" s="20"/>
      <c r="J140" s="18"/>
      <c r="K140" s="15"/>
      <c r="O140" s="13"/>
      <c r="P140" s="13"/>
      <c r="Q140" s="13"/>
    </row>
    <row r="141" spans="3:17">
      <c r="H141" s="19"/>
      <c r="I141" s="20"/>
      <c r="J141" s="18"/>
      <c r="K141" s="15"/>
      <c r="O141" s="13"/>
      <c r="P141" s="13"/>
      <c r="Q141" s="13"/>
    </row>
    <row r="142" spans="3:17" ht="12.75">
      <c r="C142" s="28" t="s">
        <v>142</v>
      </c>
      <c r="F142" s="35">
        <f>40000</f>
        <v>40000</v>
      </c>
      <c r="G142" s="35">
        <f>15000</f>
        <v>15000</v>
      </c>
      <c r="H142" s="40" t="s">
        <v>139</v>
      </c>
      <c r="I142" s="37">
        <f>10000</f>
        <v>10000</v>
      </c>
      <c r="J142" s="20" t="s">
        <v>139</v>
      </c>
      <c r="K142" s="15"/>
      <c r="O142" s="13"/>
      <c r="P142" s="13"/>
      <c r="Q142" s="13"/>
    </row>
    <row r="143" spans="3:17" ht="33.75">
      <c r="C143" s="1114" t="s">
        <v>140</v>
      </c>
      <c r="D143" s="1115"/>
      <c r="E143" s="337" t="s">
        <v>136</v>
      </c>
      <c r="F143" s="337" t="s">
        <v>137</v>
      </c>
      <c r="G143" s="337" t="s">
        <v>131</v>
      </c>
      <c r="H143" s="337" t="s">
        <v>132</v>
      </c>
      <c r="I143" s="104" t="s">
        <v>133</v>
      </c>
      <c r="J143" s="105" t="s">
        <v>134</v>
      </c>
      <c r="K143" s="15"/>
      <c r="O143" s="13"/>
      <c r="P143" s="13"/>
      <c r="Q143" s="13"/>
    </row>
    <row r="144" spans="3:17">
      <c r="C144" s="30">
        <v>0</v>
      </c>
      <c r="D144" s="23">
        <v>10000</v>
      </c>
      <c r="E144" s="23">
        <v>0</v>
      </c>
      <c r="F144" s="41">
        <v>0</v>
      </c>
      <c r="G144" s="23">
        <v>0</v>
      </c>
      <c r="H144" s="41">
        <v>0</v>
      </c>
      <c r="I144" s="23">
        <v>0</v>
      </c>
      <c r="J144" s="63">
        <v>0</v>
      </c>
      <c r="K144" s="15"/>
      <c r="O144" s="13"/>
      <c r="P144" s="13"/>
      <c r="Q144" s="13"/>
    </row>
    <row r="145" spans="3:17">
      <c r="C145" s="30">
        <v>10000</v>
      </c>
      <c r="D145" s="23">
        <v>15000</v>
      </c>
      <c r="E145" s="23">
        <v>0</v>
      </c>
      <c r="F145" s="41">
        <v>0</v>
      </c>
      <c r="G145" s="23">
        <v>0</v>
      </c>
      <c r="H145" s="41">
        <v>0</v>
      </c>
      <c r="I145" s="23">
        <v>0</v>
      </c>
      <c r="J145" s="63">
        <v>0.18</v>
      </c>
      <c r="K145" s="15"/>
      <c r="O145" s="13"/>
      <c r="P145" s="13"/>
      <c r="Q145" s="13"/>
    </row>
    <row r="146" spans="3:17">
      <c r="C146" s="30">
        <v>15000</v>
      </c>
      <c r="D146" s="23">
        <v>40000</v>
      </c>
      <c r="E146" s="23">
        <v>0</v>
      </c>
      <c r="F146" s="41">
        <v>0</v>
      </c>
      <c r="G146" s="23">
        <v>0</v>
      </c>
      <c r="H146" s="31">
        <v>0.13</v>
      </c>
      <c r="I146" s="23">
        <v>900</v>
      </c>
      <c r="J146" s="63">
        <v>0.18</v>
      </c>
      <c r="K146" s="15"/>
      <c r="O146" s="13"/>
      <c r="P146" s="13"/>
      <c r="Q146" s="13"/>
    </row>
    <row r="147" spans="3:17">
      <c r="C147" s="32">
        <v>40000</v>
      </c>
      <c r="D147" s="33" t="s">
        <v>141</v>
      </c>
      <c r="E147" s="33">
        <v>0</v>
      </c>
      <c r="F147" s="34">
        <v>0.01</v>
      </c>
      <c r="G147" s="33">
        <v>3250</v>
      </c>
      <c r="H147" s="34">
        <v>0.13</v>
      </c>
      <c r="I147" s="33">
        <v>5400</v>
      </c>
      <c r="J147" s="64">
        <v>0.18</v>
      </c>
      <c r="K147" s="15"/>
      <c r="O147" s="13"/>
      <c r="P147" s="13"/>
      <c r="Q147" s="13"/>
    </row>
    <row r="148" spans="3:17">
      <c r="C148" s="13" t="s">
        <v>190</v>
      </c>
      <c r="H148" s="19"/>
      <c r="I148" s="20"/>
      <c r="J148" s="21"/>
      <c r="K148" s="15"/>
      <c r="O148" s="13"/>
      <c r="P148" s="13"/>
      <c r="Q148" s="13"/>
    </row>
    <row r="149" spans="3:17">
      <c r="H149" s="19"/>
      <c r="I149" s="20"/>
      <c r="J149" s="21"/>
      <c r="K149" s="15"/>
      <c r="O149" s="13"/>
      <c r="P149" s="13"/>
      <c r="Q149" s="13"/>
    </row>
    <row r="150" spans="3:17" ht="12.75">
      <c r="C150" s="61" t="s">
        <v>167</v>
      </c>
      <c r="D150" s="61"/>
      <c r="E150" s="61"/>
      <c r="F150" s="35">
        <v>0</v>
      </c>
      <c r="G150" s="35">
        <v>0</v>
      </c>
      <c r="H150" s="36"/>
      <c r="I150" s="37">
        <v>0</v>
      </c>
      <c r="J150" s="21"/>
      <c r="K150" s="15"/>
      <c r="O150" s="13"/>
      <c r="P150" s="13"/>
      <c r="Q150" s="13"/>
    </row>
    <row r="151" spans="3:17" ht="33.75">
      <c r="C151" s="1116" t="s">
        <v>124</v>
      </c>
      <c r="D151" s="1117"/>
      <c r="E151" s="337" t="s">
        <v>136</v>
      </c>
      <c r="F151" s="337" t="s">
        <v>137</v>
      </c>
      <c r="G151" s="337" t="s">
        <v>131</v>
      </c>
      <c r="H151" s="337" t="s">
        <v>132</v>
      </c>
      <c r="I151" s="104" t="s">
        <v>133</v>
      </c>
      <c r="J151" s="105" t="s">
        <v>134</v>
      </c>
      <c r="K151" s="15"/>
      <c r="O151" s="13"/>
      <c r="P151" s="13"/>
      <c r="Q151" s="13"/>
    </row>
    <row r="152" spans="3:17">
      <c r="C152" s="30">
        <v>0</v>
      </c>
      <c r="D152" s="23">
        <v>25000</v>
      </c>
      <c r="E152" s="23">
        <v>0</v>
      </c>
      <c r="F152" s="31">
        <v>0</v>
      </c>
      <c r="G152" s="23">
        <v>0</v>
      </c>
      <c r="H152" s="31">
        <v>0</v>
      </c>
      <c r="I152" s="23">
        <v>0</v>
      </c>
      <c r="J152" s="63">
        <v>0.15</v>
      </c>
      <c r="K152" s="15"/>
      <c r="O152" s="13"/>
      <c r="P152" s="13"/>
      <c r="Q152" s="13"/>
    </row>
    <row r="153" spans="3:17">
      <c r="C153" s="30">
        <v>25000</v>
      </c>
      <c r="D153" s="23">
        <v>700000</v>
      </c>
      <c r="E153" s="23">
        <v>0</v>
      </c>
      <c r="F153" s="31">
        <v>0</v>
      </c>
      <c r="G153" s="23">
        <f>$C153*H152</f>
        <v>0</v>
      </c>
      <c r="H153" s="31">
        <v>0.11</v>
      </c>
      <c r="I153" s="23">
        <f>$C153*J152</f>
        <v>3750</v>
      </c>
      <c r="J153" s="63">
        <v>0.15</v>
      </c>
      <c r="K153" s="15"/>
      <c r="O153" s="13"/>
      <c r="P153" s="13"/>
      <c r="Q153" s="13"/>
    </row>
    <row r="154" spans="3:17">
      <c r="C154" s="30">
        <v>700000</v>
      </c>
      <c r="D154" s="23">
        <v>1100000</v>
      </c>
      <c r="E154" s="23">
        <v>0</v>
      </c>
      <c r="F154" s="31">
        <v>0</v>
      </c>
      <c r="G154" s="23">
        <v>74250</v>
      </c>
      <c r="H154" s="31">
        <v>0.11</v>
      </c>
      <c r="I154" s="23">
        <v>105000</v>
      </c>
      <c r="J154" s="63">
        <v>0.16</v>
      </c>
      <c r="K154" s="15"/>
      <c r="O154" s="13"/>
      <c r="P154" s="13"/>
      <c r="Q154" s="13"/>
    </row>
    <row r="155" spans="3:17">
      <c r="C155" s="30">
        <v>1100000</v>
      </c>
      <c r="D155" s="23">
        <v>1400000</v>
      </c>
      <c r="E155" s="23">
        <v>0</v>
      </c>
      <c r="F155" s="31">
        <v>0</v>
      </c>
      <c r="G155" s="23">
        <v>118250</v>
      </c>
      <c r="H155" s="31">
        <v>0.13</v>
      </c>
      <c r="I155" s="23">
        <v>169000</v>
      </c>
      <c r="J155" s="63">
        <v>0.16</v>
      </c>
      <c r="K155" s="15"/>
      <c r="O155" s="13"/>
      <c r="P155" s="13"/>
      <c r="Q155" s="13"/>
    </row>
    <row r="156" spans="3:17">
      <c r="C156" s="30">
        <v>1400000</v>
      </c>
      <c r="D156" s="23">
        <v>1700000</v>
      </c>
      <c r="E156" s="23">
        <v>0</v>
      </c>
      <c r="F156" s="31">
        <v>0</v>
      </c>
      <c r="G156" s="23">
        <v>157250</v>
      </c>
      <c r="H156" s="31">
        <v>0.14000000000000001</v>
      </c>
      <c r="I156" s="23">
        <v>217000</v>
      </c>
      <c r="J156" s="63">
        <v>0.16</v>
      </c>
      <c r="K156" s="15"/>
      <c r="O156" s="13"/>
      <c r="P156" s="13"/>
      <c r="Q156" s="13"/>
    </row>
    <row r="157" spans="3:17">
      <c r="C157" s="32">
        <v>1700000</v>
      </c>
      <c r="D157" s="33" t="s">
        <v>135</v>
      </c>
      <c r="E157" s="33">
        <v>0</v>
      </c>
      <c r="F157" s="34">
        <v>0</v>
      </c>
      <c r="G157" s="33">
        <v>199250</v>
      </c>
      <c r="H157" s="34">
        <v>0.16</v>
      </c>
      <c r="I157" s="33">
        <v>265000</v>
      </c>
      <c r="J157" s="64">
        <v>0.16</v>
      </c>
      <c r="K157" s="15"/>
      <c r="O157" s="13"/>
      <c r="P157" s="13"/>
      <c r="Q157" s="13"/>
    </row>
    <row r="160" spans="3:17" ht="12.75">
      <c r="C160" s="28" t="s">
        <v>495</v>
      </c>
    </row>
    <row r="161" spans="3:8" ht="22.5">
      <c r="C161" s="1116" t="s">
        <v>145</v>
      </c>
      <c r="D161" s="1117"/>
      <c r="E161" s="337" t="s">
        <v>146</v>
      </c>
      <c r="F161" s="105" t="s">
        <v>147</v>
      </c>
      <c r="G161" s="149"/>
    </row>
    <row r="162" spans="3:8">
      <c r="C162" s="91">
        <v>1000000</v>
      </c>
      <c r="D162" s="92">
        <v>1500000</v>
      </c>
      <c r="E162" s="93">
        <v>0</v>
      </c>
      <c r="F162" s="94">
        <v>0.1</v>
      </c>
      <c r="G162" s="148"/>
    </row>
    <row r="163" spans="3:8">
      <c r="C163" s="91">
        <v>1500000</v>
      </c>
      <c r="D163" s="92">
        <v>2500000</v>
      </c>
      <c r="E163" s="93">
        <v>50000</v>
      </c>
      <c r="F163" s="94">
        <v>0.10249999999999999</v>
      </c>
      <c r="G163" s="148"/>
    </row>
    <row r="164" spans="3:8">
      <c r="C164" s="91">
        <v>2500000</v>
      </c>
      <c r="D164" s="92">
        <v>3500000</v>
      </c>
      <c r="E164" s="93">
        <v>152500</v>
      </c>
      <c r="F164" s="94">
        <v>0.105</v>
      </c>
      <c r="G164" s="148"/>
    </row>
    <row r="165" spans="3:8">
      <c r="C165" s="91">
        <v>3500000</v>
      </c>
      <c r="D165" s="92">
        <v>4500000</v>
      </c>
      <c r="E165" s="93">
        <v>257500</v>
      </c>
      <c r="F165" s="94">
        <v>0.11</v>
      </c>
      <c r="G165" s="148"/>
    </row>
    <row r="166" spans="3:8">
      <c r="C166" s="91">
        <v>4500000</v>
      </c>
      <c r="D166" s="92">
        <v>5500000</v>
      </c>
      <c r="E166" s="93">
        <v>367500</v>
      </c>
      <c r="F166" s="94">
        <v>0.115</v>
      </c>
      <c r="G166" s="148"/>
    </row>
    <row r="167" spans="3:8">
      <c r="C167" s="91">
        <v>5500000</v>
      </c>
      <c r="D167" s="92">
        <v>6500000</v>
      </c>
      <c r="E167" s="93">
        <v>482500</v>
      </c>
      <c r="F167" s="94">
        <v>0.12</v>
      </c>
      <c r="G167" s="148"/>
    </row>
    <row r="168" spans="3:8">
      <c r="C168" s="91">
        <v>6500000</v>
      </c>
      <c r="D168" s="92">
        <v>7500000</v>
      </c>
      <c r="E168" s="93">
        <v>602500</v>
      </c>
      <c r="F168" s="94">
        <v>0.13</v>
      </c>
      <c r="G168" s="148"/>
    </row>
    <row r="169" spans="3:8">
      <c r="C169" s="91">
        <v>7500000</v>
      </c>
      <c r="D169" s="92">
        <v>8500000</v>
      </c>
      <c r="E169" s="93">
        <v>732500</v>
      </c>
      <c r="F169" s="94">
        <v>0.14000000000000001</v>
      </c>
      <c r="G169" s="148"/>
    </row>
    <row r="170" spans="3:8">
      <c r="C170" s="91">
        <v>8500000</v>
      </c>
      <c r="D170" s="92">
        <v>9500000</v>
      </c>
      <c r="E170" s="93">
        <v>872500</v>
      </c>
      <c r="F170" s="94">
        <v>0.15</v>
      </c>
      <c r="G170" s="148"/>
    </row>
    <row r="171" spans="3:8">
      <c r="C171" s="95">
        <v>9500000</v>
      </c>
      <c r="D171" s="96"/>
      <c r="E171" s="97">
        <v>1022500</v>
      </c>
      <c r="F171" s="98">
        <v>0.16</v>
      </c>
      <c r="G171" s="148"/>
    </row>
    <row r="174" spans="3:8" ht="12.75">
      <c r="C174" s="28" t="s">
        <v>149</v>
      </c>
      <c r="F174" s="18">
        <v>1000000</v>
      </c>
      <c r="G174" s="512" t="s">
        <v>2</v>
      </c>
      <c r="H174" s="513" t="s">
        <v>376</v>
      </c>
    </row>
    <row r="175" spans="3:8" ht="24" customHeight="1">
      <c r="C175" s="1116" t="s">
        <v>145</v>
      </c>
      <c r="D175" s="1117"/>
      <c r="E175" s="337" t="s">
        <v>146</v>
      </c>
      <c r="F175" s="105" t="s">
        <v>147</v>
      </c>
      <c r="G175" s="514">
        <v>2012</v>
      </c>
      <c r="H175" s="66">
        <v>1000000</v>
      </c>
    </row>
    <row r="176" spans="3:8">
      <c r="C176" s="30">
        <v>0</v>
      </c>
      <c r="D176" s="23">
        <v>40000</v>
      </c>
      <c r="E176" s="23">
        <v>0</v>
      </c>
      <c r="F176" s="42">
        <v>5.5E-2</v>
      </c>
      <c r="G176" s="514">
        <v>2013</v>
      </c>
      <c r="H176" s="66">
        <v>1250000</v>
      </c>
    </row>
    <row r="177" spans="3:9">
      <c r="C177" s="30">
        <v>40000</v>
      </c>
      <c r="D177" s="23">
        <v>240000</v>
      </c>
      <c r="E177" s="23">
        <v>2200</v>
      </c>
      <c r="F177" s="42">
        <v>6.5000000000000002E-2</v>
      </c>
      <c r="G177" s="514">
        <v>2014</v>
      </c>
      <c r="H177" s="66">
        <v>2000000</v>
      </c>
    </row>
    <row r="178" spans="3:9">
      <c r="C178" s="30">
        <v>240000</v>
      </c>
      <c r="D178" s="23">
        <v>440000</v>
      </c>
      <c r="E178" s="23">
        <v>15200</v>
      </c>
      <c r="F178" s="42">
        <v>7.4999999999999997E-2</v>
      </c>
      <c r="G178" s="514">
        <v>2015</v>
      </c>
      <c r="H178" s="66">
        <v>5000000</v>
      </c>
    </row>
    <row r="179" spans="3:9">
      <c r="C179" s="32">
        <v>440000</v>
      </c>
      <c r="D179" s="33" t="s">
        <v>135</v>
      </c>
      <c r="E179" s="33">
        <v>30200</v>
      </c>
      <c r="F179" s="43">
        <v>9.5000000000000001E-2</v>
      </c>
      <c r="G179" s="514">
        <v>2016</v>
      </c>
      <c r="H179" s="66">
        <v>0</v>
      </c>
      <c r="I179" s="515" t="s">
        <v>377</v>
      </c>
    </row>
    <row r="182" spans="3:9" ht="12.75">
      <c r="C182" s="28" t="s">
        <v>161</v>
      </c>
    </row>
    <row r="183" spans="3:9" ht="22.5">
      <c r="C183" s="99" t="s">
        <v>150</v>
      </c>
      <c r="D183" s="100" t="s">
        <v>151</v>
      </c>
      <c r="E183" s="100" t="s">
        <v>152</v>
      </c>
      <c r="F183" s="101" t="s">
        <v>166</v>
      </c>
      <c r="G183" s="149"/>
    </row>
    <row r="184" spans="3:9">
      <c r="C184" s="22">
        <v>0</v>
      </c>
      <c r="D184" s="23">
        <v>1000000</v>
      </c>
      <c r="E184" s="23">
        <v>0</v>
      </c>
      <c r="F184" s="44">
        <v>0.1</v>
      </c>
      <c r="G184" s="31"/>
    </row>
    <row r="185" spans="3:9">
      <c r="C185" s="22">
        <v>1000000</v>
      </c>
      <c r="D185" s="23">
        <v>2000000</v>
      </c>
      <c r="E185" s="23">
        <v>100000</v>
      </c>
      <c r="F185" s="44">
        <v>0.14000000000000001</v>
      </c>
      <c r="G185" s="31"/>
    </row>
    <row r="186" spans="3:9">
      <c r="C186" s="22">
        <v>2000000</v>
      </c>
      <c r="D186" s="23">
        <v>3000000</v>
      </c>
      <c r="E186" s="23">
        <v>240000</v>
      </c>
      <c r="F186" s="44">
        <v>0.15</v>
      </c>
      <c r="G186" s="31"/>
    </row>
    <row r="187" spans="3:9">
      <c r="C187" s="22">
        <v>3000000</v>
      </c>
      <c r="D187" s="23">
        <v>4000000</v>
      </c>
      <c r="E187" s="23">
        <v>390000</v>
      </c>
      <c r="F187" s="44">
        <v>0.16</v>
      </c>
      <c r="G187" s="31"/>
    </row>
    <row r="188" spans="3:9">
      <c r="C188" s="22">
        <v>4000000</v>
      </c>
      <c r="D188" s="23">
        <v>6000000</v>
      </c>
      <c r="E188" s="23">
        <v>550000</v>
      </c>
      <c r="F188" s="44">
        <v>0.17</v>
      </c>
      <c r="G188" s="31"/>
    </row>
    <row r="189" spans="3:9">
      <c r="C189" s="22">
        <v>6000000</v>
      </c>
      <c r="D189" s="23">
        <v>7000000</v>
      </c>
      <c r="E189" s="23">
        <v>890000</v>
      </c>
      <c r="F189" s="44">
        <v>0.18</v>
      </c>
      <c r="G189" s="31"/>
    </row>
    <row r="190" spans="3:9">
      <c r="C190" s="22">
        <v>7000000</v>
      </c>
      <c r="D190" s="23">
        <v>9000000</v>
      </c>
      <c r="E190" s="23">
        <v>1070000</v>
      </c>
      <c r="F190" s="45">
        <v>0.185</v>
      </c>
      <c r="G190" s="147"/>
    </row>
    <row r="191" spans="3:9">
      <c r="C191" s="25">
        <v>9000000</v>
      </c>
      <c r="D191" s="26" t="s">
        <v>135</v>
      </c>
      <c r="E191" s="26">
        <v>1440000</v>
      </c>
      <c r="F191" s="46">
        <v>0.19</v>
      </c>
      <c r="G191" s="31"/>
    </row>
    <row r="194" spans="3:7">
      <c r="D194" s="13"/>
      <c r="E194" s="13"/>
      <c r="F194" s="13"/>
      <c r="G194" s="13"/>
    </row>
    <row r="195" spans="3:7" ht="12.75">
      <c r="C195" s="28" t="s">
        <v>501</v>
      </c>
      <c r="G195" s="13"/>
    </row>
    <row r="196" spans="3:7" ht="22.5">
      <c r="C196" s="99" t="s">
        <v>150</v>
      </c>
      <c r="D196" s="100" t="s">
        <v>151</v>
      </c>
      <c r="E196" s="100" t="s">
        <v>152</v>
      </c>
      <c r="F196" s="101" t="s">
        <v>166</v>
      </c>
      <c r="G196" s="13"/>
    </row>
    <row r="197" spans="3:7">
      <c r="C197" s="22">
        <f>100000+F12</f>
        <v>5350000</v>
      </c>
      <c r="D197" s="23">
        <f>C197+50000</f>
        <v>5400000</v>
      </c>
      <c r="E197" s="23">
        <v>0</v>
      </c>
      <c r="F197" s="24">
        <v>8.0000000000000002E-3</v>
      </c>
      <c r="G197" s="13"/>
    </row>
    <row r="198" spans="3:7">
      <c r="C198" s="22">
        <f>+D197</f>
        <v>5400000</v>
      </c>
      <c r="D198" s="23">
        <f>C198+50000</f>
        <v>5450000</v>
      </c>
      <c r="E198" s="23">
        <f>(C198-C197)*F197</f>
        <v>400</v>
      </c>
      <c r="F198" s="24">
        <v>1.6E-2</v>
      </c>
      <c r="G198" s="13"/>
    </row>
    <row r="199" spans="3:7">
      <c r="C199" s="22">
        <f t="shared" ref="C199:C216" si="4">+D198</f>
        <v>5450000</v>
      </c>
      <c r="D199" s="23">
        <f>C199+100000</f>
        <v>5550000</v>
      </c>
      <c r="E199" s="23">
        <f>((C199-C198)*F198)+E198</f>
        <v>1200</v>
      </c>
      <c r="F199" s="24">
        <v>2.4E-2</v>
      </c>
      <c r="G199" s="13"/>
    </row>
    <row r="200" spans="3:7">
      <c r="C200" s="22">
        <f t="shared" si="4"/>
        <v>5550000</v>
      </c>
      <c r="D200" s="23">
        <f>C200+200000</f>
        <v>5750000</v>
      </c>
      <c r="E200" s="23">
        <f t="shared" ref="E200:E216" si="5">((C200-C199)*F199)+E199</f>
        <v>3600</v>
      </c>
      <c r="F200" s="24">
        <v>3.2000000000000001E-2</v>
      </c>
      <c r="G200" s="13"/>
    </row>
    <row r="201" spans="3:7">
      <c r="C201" s="22">
        <f t="shared" si="4"/>
        <v>5750000</v>
      </c>
      <c r="D201" s="23">
        <f t="shared" ref="D201:D203" si="6">C201+200000</f>
        <v>5950000</v>
      </c>
      <c r="E201" s="23">
        <f t="shared" si="5"/>
        <v>10000</v>
      </c>
      <c r="F201" s="24">
        <v>0.04</v>
      </c>
      <c r="G201" s="13"/>
    </row>
    <row r="202" spans="3:7">
      <c r="C202" s="22">
        <f t="shared" si="4"/>
        <v>5950000</v>
      </c>
      <c r="D202" s="23">
        <f t="shared" si="6"/>
        <v>6150000</v>
      </c>
      <c r="E202" s="23">
        <f t="shared" si="5"/>
        <v>18000</v>
      </c>
      <c r="F202" s="24">
        <v>4.8000000000000001E-2</v>
      </c>
    </row>
    <row r="203" spans="3:7">
      <c r="C203" s="22">
        <f t="shared" si="4"/>
        <v>6150000</v>
      </c>
      <c r="D203" s="23">
        <f t="shared" si="6"/>
        <v>6350000</v>
      </c>
      <c r="E203" s="23">
        <f t="shared" si="5"/>
        <v>27600</v>
      </c>
      <c r="F203" s="24">
        <v>5.6000000000000001E-2</v>
      </c>
    </row>
    <row r="204" spans="3:7">
      <c r="C204" s="22">
        <f t="shared" si="4"/>
        <v>6350000</v>
      </c>
      <c r="D204" s="23">
        <f>C204+500000</f>
        <v>6850000</v>
      </c>
      <c r="E204" s="23">
        <f t="shared" si="5"/>
        <v>38800</v>
      </c>
      <c r="F204" s="24">
        <v>6.4000000000000001E-2</v>
      </c>
      <c r="G204" s="13"/>
    </row>
    <row r="205" spans="3:7">
      <c r="C205" s="22">
        <f t="shared" si="4"/>
        <v>6850000</v>
      </c>
      <c r="D205" s="23">
        <f t="shared" ref="D205:D209" si="7">C205+500000</f>
        <v>7350000</v>
      </c>
      <c r="E205" s="23">
        <f t="shared" si="5"/>
        <v>70800</v>
      </c>
      <c r="F205" s="24">
        <v>7.1999999999999995E-2</v>
      </c>
      <c r="G205" s="13"/>
    </row>
    <row r="206" spans="3:7">
      <c r="C206" s="22">
        <f t="shared" si="4"/>
        <v>7350000</v>
      </c>
      <c r="D206" s="23">
        <f t="shared" si="7"/>
        <v>7850000</v>
      </c>
      <c r="E206" s="23">
        <f t="shared" si="5"/>
        <v>106800</v>
      </c>
      <c r="F206" s="24">
        <v>0.08</v>
      </c>
      <c r="G206" s="13"/>
    </row>
    <row r="207" spans="3:7">
      <c r="C207" s="22">
        <f t="shared" si="4"/>
        <v>7850000</v>
      </c>
      <c r="D207" s="23">
        <f t="shared" si="7"/>
        <v>8350000</v>
      </c>
      <c r="E207" s="23">
        <f t="shared" si="5"/>
        <v>146800</v>
      </c>
      <c r="F207" s="24">
        <v>8.7999999999999995E-2</v>
      </c>
      <c r="G207" s="13"/>
    </row>
    <row r="208" spans="3:7">
      <c r="C208" s="22">
        <f t="shared" si="4"/>
        <v>8350000</v>
      </c>
      <c r="D208" s="23">
        <f t="shared" si="7"/>
        <v>8850000</v>
      </c>
      <c r="E208" s="23">
        <f t="shared" si="5"/>
        <v>190800</v>
      </c>
      <c r="F208" s="24">
        <v>9.6000000000000002E-2</v>
      </c>
      <c r="G208" s="13"/>
    </row>
    <row r="209" spans="3:7">
      <c r="C209" s="22">
        <f t="shared" si="4"/>
        <v>8850000</v>
      </c>
      <c r="D209" s="23">
        <f t="shared" si="7"/>
        <v>9350000</v>
      </c>
      <c r="E209" s="23">
        <f t="shared" si="5"/>
        <v>238800</v>
      </c>
      <c r="F209" s="24">
        <v>0.104</v>
      </c>
      <c r="G209" s="13"/>
    </row>
    <row r="210" spans="3:7">
      <c r="C210" s="22">
        <f t="shared" si="4"/>
        <v>9350000</v>
      </c>
      <c r="D210" s="23">
        <f>C210+1000000</f>
        <v>10350000</v>
      </c>
      <c r="E210" s="23">
        <f t="shared" si="5"/>
        <v>290800</v>
      </c>
      <c r="F210" s="24">
        <v>0.112</v>
      </c>
      <c r="G210" s="13"/>
    </row>
    <row r="211" spans="3:7">
      <c r="C211" s="22">
        <f t="shared" si="4"/>
        <v>10350000</v>
      </c>
      <c r="D211" s="23">
        <f t="shared" ref="D211:D215" si="8">C211+1000000</f>
        <v>11350000</v>
      </c>
      <c r="E211" s="23">
        <f t="shared" si="5"/>
        <v>402800</v>
      </c>
      <c r="F211" s="24">
        <v>0.12</v>
      </c>
    </row>
    <row r="212" spans="3:7">
      <c r="C212" s="22">
        <f t="shared" si="4"/>
        <v>11350000</v>
      </c>
      <c r="D212" s="23">
        <f t="shared" si="8"/>
        <v>12350000</v>
      </c>
      <c r="E212" s="23">
        <f t="shared" si="5"/>
        <v>522800</v>
      </c>
      <c r="F212" s="24">
        <v>0.128</v>
      </c>
    </row>
    <row r="213" spans="3:7">
      <c r="C213" s="22">
        <f t="shared" si="4"/>
        <v>12350000</v>
      </c>
      <c r="D213" s="23">
        <f t="shared" si="8"/>
        <v>13350000</v>
      </c>
      <c r="E213" s="23">
        <f t="shared" si="5"/>
        <v>650800</v>
      </c>
      <c r="F213" s="24">
        <v>0.13600000000000001</v>
      </c>
    </row>
    <row r="214" spans="3:7">
      <c r="C214" s="22">
        <f t="shared" si="4"/>
        <v>13350000</v>
      </c>
      <c r="D214" s="23">
        <f t="shared" si="8"/>
        <v>14350000</v>
      </c>
      <c r="E214" s="23">
        <f t="shared" si="5"/>
        <v>786800</v>
      </c>
      <c r="F214" s="24">
        <v>0.14399999999999999</v>
      </c>
    </row>
    <row r="215" spans="3:7">
      <c r="C215" s="22">
        <f t="shared" si="4"/>
        <v>14350000</v>
      </c>
      <c r="D215" s="23">
        <f t="shared" si="8"/>
        <v>15350000</v>
      </c>
      <c r="E215" s="23">
        <f t="shared" si="5"/>
        <v>930800</v>
      </c>
      <c r="F215" s="24">
        <v>0.152</v>
      </c>
    </row>
    <row r="216" spans="3:7">
      <c r="C216" s="25">
        <f t="shared" si="4"/>
        <v>15350000</v>
      </c>
      <c r="D216" s="26" t="s">
        <v>135</v>
      </c>
      <c r="E216" s="26">
        <f t="shared" si="5"/>
        <v>1082800</v>
      </c>
      <c r="F216" s="27">
        <v>0.16</v>
      </c>
    </row>
  </sheetData>
  <sheetProtection password="9227" sheet="1" objects="1" scenarios="1" selectLockedCells="1" selectUnlockedCells="1"/>
  <mergeCells count="13">
    <mergeCell ref="C175:D175"/>
    <mergeCell ref="C106:D106"/>
    <mergeCell ref="C118:D118"/>
    <mergeCell ref="A3:C3"/>
    <mergeCell ref="C151:D151"/>
    <mergeCell ref="A4:O4"/>
    <mergeCell ref="C161:D161"/>
    <mergeCell ref="K92:L92"/>
    <mergeCell ref="D1:F1"/>
    <mergeCell ref="A1:C1"/>
    <mergeCell ref="G1:O1"/>
    <mergeCell ref="A2:O2"/>
    <mergeCell ref="C143:D143"/>
  </mergeCells>
  <printOptions horizontalCentered="1"/>
  <pageMargins left="0.35" right="0.35" top="0.75" bottom="0.4" header="0.3" footer="0.3"/>
  <pageSetup scale="95" fitToHeight="2" orientation="landscape" horizontalDpi="1200" verticalDpi="1200" r:id="rId1"/>
  <headerFooter>
    <oddFooter>&amp;C&amp;"Gill Sans,Regular"&amp;6SUPPLEMENTAL PAGE</oddFooter>
  </headerFooter>
  <rowBreaks count="1" manualBreakCount="1">
    <brk id="116" max="16383" man="1"/>
  </rowBreaks>
  <ignoredErrors>
    <ignoredError sqref="B25" formula="1"/>
    <ignoredError sqref="P12 F12" unlockedFormula="1"/>
  </ignoredError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41</vt:i4>
      </vt:variant>
    </vt:vector>
  </HeadingPairs>
  <TitlesOfParts>
    <vt:vector size="52" baseType="lpstr">
      <vt:lpstr>Title</vt:lpstr>
      <vt:lpstr>Calculator</vt:lpstr>
      <vt:lpstr>Summary</vt:lpstr>
      <vt:lpstr>Additional Input</vt:lpstr>
      <vt:lpstr>Adjustments</vt:lpstr>
      <vt:lpstr>Projections</vt:lpstr>
      <vt:lpstr>States</vt:lpstr>
      <vt:lpstr>Checklist</vt:lpstr>
      <vt:lpstr>State Details</vt:lpstr>
      <vt:lpstr>Fact Sheet</vt:lpstr>
      <vt:lpstr>TaxTables</vt:lpstr>
      <vt:lpstr>AllStateTables</vt:lpstr>
      <vt:lpstr>Amortization</vt:lpstr>
      <vt:lpstr>CT</vt:lpstr>
      <vt:lpstr>DATA</vt:lpstr>
      <vt:lpstr>DATA2</vt:lpstr>
      <vt:lpstr>DATA3</vt:lpstr>
      <vt:lpstr>DE</vt:lpstr>
      <vt:lpstr>ETable1</vt:lpstr>
      <vt:lpstr>ETable2</vt:lpstr>
      <vt:lpstr>ETable3</vt:lpstr>
      <vt:lpstr>Gifts</vt:lpstr>
      <vt:lpstr>HI</vt:lpstr>
      <vt:lpstr>IA</vt:lpstr>
      <vt:lpstr>IN</vt:lpstr>
      <vt:lpstr>Inheritance</vt:lpstr>
      <vt:lpstr>INtable</vt:lpstr>
      <vt:lpstr>KY</vt:lpstr>
      <vt:lpstr>ME</vt:lpstr>
      <vt:lpstr>NE</vt:lpstr>
      <vt:lpstr>NJ</vt:lpstr>
      <vt:lpstr>OR</vt:lpstr>
      <vt:lpstr>'Additional Input'!Print_Area</vt:lpstr>
      <vt:lpstr>Adjustments!Print_Area</vt:lpstr>
      <vt:lpstr>Calculator!Print_Area</vt:lpstr>
      <vt:lpstr>Checklist!Print_Area</vt:lpstr>
      <vt:lpstr>'Fact Sheet'!Print_Area</vt:lpstr>
      <vt:lpstr>Projections!Print_Area</vt:lpstr>
      <vt:lpstr>'State Details'!Print_Area</vt:lpstr>
      <vt:lpstr>Summary!Print_Area</vt:lpstr>
      <vt:lpstr>TaxTables!Print_Area</vt:lpstr>
      <vt:lpstr>Title!Print_Area</vt:lpstr>
      <vt:lpstr>Projections!Print_Titles</vt:lpstr>
      <vt:lpstr>'State Details'!Print_Titles</vt:lpstr>
      <vt:lpstr>Projections</vt:lpstr>
      <vt:lpstr>States</vt:lpstr>
      <vt:lpstr>StateTaxes</vt:lpstr>
      <vt:lpstr>TN</vt:lpstr>
      <vt:lpstr>TNExemption</vt:lpstr>
      <vt:lpstr>Underwriting</vt:lpstr>
      <vt:lpstr>UniformTable</vt:lpstr>
      <vt:lpstr>WA</vt:lpstr>
    </vt:vector>
  </TitlesOfParts>
  <Company>Prudential Financial</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Estate Tax Calculator with State Taxes - Version 00003</dc:title>
  <dc:creator>X044507</dc:creator>
  <cp:keywords>Estate State Tax Calculator, 0193238-00003-00, Tax, Calculator</cp:keywords>
  <cp:lastModifiedBy>Anthony Spessard</cp:lastModifiedBy>
  <cp:lastPrinted>2013-02-01T14:40:44Z</cp:lastPrinted>
  <dcterms:created xsi:type="dcterms:W3CDTF">2010-12-27T17:27:29Z</dcterms:created>
  <dcterms:modified xsi:type="dcterms:W3CDTF">2013-04-04T16:49:04Z</dcterms:modified>
</cp:coreProperties>
</file>